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336" windowWidth="9372" windowHeight="11640" firstSheet="7" activeTab="9"/>
  </bookViews>
  <sheets>
    <sheet name="Jul-Sep" sheetId="1" state="hidden" r:id="rId1"/>
    <sheet name="Jul-Sep Bar graphs" sheetId="2" state="hidden" r:id="rId2"/>
    <sheet name="Jul-Dec" sheetId="3" state="hidden" r:id="rId3"/>
    <sheet name="Jul-Dec Bar graphs" sheetId="4" state="hidden" r:id="rId4"/>
    <sheet name="Jul-Mar" sheetId="5" state="hidden" r:id="rId5"/>
    <sheet name="Jul-Mar Bar graphs" sheetId="6" state="hidden" r:id="rId6"/>
    <sheet name="2011-12 Quarterly Comparison" sheetId="7" state="hidden" r:id="rId7"/>
    <sheet name="2016-17" sheetId="8" r:id="rId8"/>
    <sheet name="2017-18" sheetId="9" r:id="rId9"/>
    <sheet name="2018-19" sheetId="10" r:id="rId10"/>
  </sheets>
  <externalReferences>
    <externalReference r:id="rId13"/>
  </externalReferences>
  <definedNames>
    <definedName name="_Sort" hidden="1">'[1]FATAL'!$A:$A</definedName>
    <definedName name="_xlfn.COUNTIFS" hidden="1">#NAME?</definedName>
    <definedName name="_xlfn.SUMIFS" hidden="1">#NAME?</definedName>
    <definedName name="_xlnm.Print_Area" localSheetId="6">'2011-12 Quarterly Comparison'!$D$2:$S$2</definedName>
    <definedName name="_xlnm.Print_Area" localSheetId="2">'Jul-Dec'!$C$4:$S$34</definedName>
    <definedName name="_xlnm.Print_Area" localSheetId="3">'Jul-Dec Bar graphs'!$D$2:$R$2</definedName>
    <definedName name="_xlnm.Print_Area" localSheetId="4">'Jul-Mar'!$C$4:$S$34</definedName>
    <definedName name="_xlnm.Print_Area" localSheetId="5">'Jul-Mar Bar graphs'!$D$2:$R$2</definedName>
    <definedName name="_xlnm.Print_Area" localSheetId="0">'Jul-Sep'!$C$4:$S$34</definedName>
    <definedName name="_xlnm.Print_Area" localSheetId="1">'Jul-Sep Bar graphs'!$D$2:$R$2</definedName>
  </definedNames>
  <calcPr fullCalcOnLoad="1"/>
</workbook>
</file>

<file path=xl/sharedStrings.xml><?xml version="1.0" encoding="utf-8"?>
<sst xmlns="http://schemas.openxmlformats.org/spreadsheetml/2006/main" count="422" uniqueCount="94">
  <si>
    <t>Mine</t>
  </si>
  <si>
    <t>Cook</t>
  </si>
  <si>
    <t>Crinum</t>
  </si>
  <si>
    <t>Moranbah North</t>
  </si>
  <si>
    <t>North Goonyella No. 1</t>
  </si>
  <si>
    <t>Oaky Creek No. 1</t>
  </si>
  <si>
    <t>Oaky North Underground</t>
  </si>
  <si>
    <t xml:space="preserve"> </t>
  </si>
  <si>
    <t>Kestrel</t>
  </si>
  <si>
    <t>Grasstree</t>
  </si>
  <si>
    <t>All coal mines</t>
  </si>
  <si>
    <t>LTI</t>
  </si>
  <si>
    <t>Newlands Northern Underground</t>
  </si>
  <si>
    <t>Aquila</t>
  </si>
  <si>
    <t>Bundoora</t>
  </si>
  <si>
    <t>TRI</t>
  </si>
  <si>
    <t>TRIFR</t>
  </si>
  <si>
    <t>DI</t>
  </si>
  <si>
    <t>MTI</t>
  </si>
  <si>
    <t>HPI</t>
  </si>
  <si>
    <t>LTIFR</t>
  </si>
  <si>
    <t>LTI + DI Severity rate</t>
  </si>
  <si>
    <t>LTI + DI Duration rate</t>
  </si>
  <si>
    <t>Million hours worked</t>
  </si>
  <si>
    <t>Broadmeadow - G.E.Adit</t>
  </si>
  <si>
    <t>Kestrel Mine Extension Project</t>
  </si>
  <si>
    <t>LTI + DI frequency rate</t>
  </si>
  <si>
    <t>2009-10</t>
  </si>
  <si>
    <t>Carborough Downs (Includes Prep Plant)</t>
  </si>
  <si>
    <t xml:space="preserve">                                                                                   </t>
  </si>
  <si>
    <t>Raw Coal Production</t>
  </si>
  <si>
    <t>Days Lost</t>
  </si>
  <si>
    <t>DI Days</t>
  </si>
  <si>
    <t>Alt Days</t>
  </si>
  <si>
    <t>LTI Days</t>
  </si>
  <si>
    <t>Baralaba (91)</t>
  </si>
  <si>
    <t>Baralaba</t>
  </si>
  <si>
    <t>Blackwater (1 598)</t>
  </si>
  <si>
    <t>Blackwater</t>
  </si>
  <si>
    <t>Blair Athol (281)</t>
  </si>
  <si>
    <t>Blair Athol</t>
  </si>
  <si>
    <t>Burton (441)</t>
  </si>
  <si>
    <t xml:space="preserve">Burton </t>
  </si>
  <si>
    <t>Boundary Hill/Callide</t>
  </si>
  <si>
    <t>Boundary Hill/Callide (556)</t>
  </si>
  <si>
    <t>Broadlea</t>
  </si>
  <si>
    <t>Broadlea (96)</t>
  </si>
  <si>
    <t>Clermont Coal Mine Project (406)</t>
  </si>
  <si>
    <t>Collinsville (459)</t>
  </si>
  <si>
    <t>Collinsville</t>
  </si>
  <si>
    <t>Commodore (68)</t>
  </si>
  <si>
    <t>Commodore</t>
  </si>
  <si>
    <t>Coppabella (415)</t>
  </si>
  <si>
    <t>Coppabella</t>
  </si>
  <si>
    <t>Curragh (1 083)</t>
  </si>
  <si>
    <t>Curragh</t>
  </si>
  <si>
    <t>Dawson (Moura) (1 479)</t>
  </si>
  <si>
    <t>Dawson (Moura)</t>
  </si>
  <si>
    <t>Eaglefield (223)</t>
  </si>
  <si>
    <t>Eaglefield</t>
  </si>
  <si>
    <t>Total 2010-11</t>
  </si>
  <si>
    <t>2010-11</t>
  </si>
  <si>
    <t>Surface coal mines</t>
  </si>
  <si>
    <t>Underground coal mines</t>
  </si>
  <si>
    <t>Jul-Mar</t>
  </si>
  <si>
    <t>Jul-Dec</t>
  </si>
  <si>
    <t>Jul-Jun</t>
  </si>
  <si>
    <t>Jul-Sep</t>
  </si>
  <si>
    <t>Underground coal mines injuries statistics Jul-Sep 2011-12</t>
  </si>
  <si>
    <t>2011-12</t>
  </si>
  <si>
    <t>Employees as at 30.09.11</t>
  </si>
  <si>
    <t>Underground coal mines injuries statistics Jul-Dec 2011-12</t>
  </si>
  <si>
    <t>Employees as at 31.12.11</t>
  </si>
  <si>
    <t>Employees as at 31.03.12</t>
  </si>
  <si>
    <t>Underground coal mines injuries statistics Jul-Mar 2011-12</t>
  </si>
  <si>
    <t>Carborough Downs</t>
  </si>
  <si>
    <t>Eagle Downs Coal Mine Ml 70389</t>
  </si>
  <si>
    <t>Ensham Underground Mine</t>
  </si>
  <si>
    <t>Grosvenor Coal Mine</t>
  </si>
  <si>
    <t>LTI + DI Duration Rate</t>
  </si>
  <si>
    <t>LTI + DI Severity Rate</t>
  </si>
  <si>
    <t>LTI + DI Frequency Rate</t>
  </si>
  <si>
    <t>Million Hours Worked</t>
  </si>
  <si>
    <t>Underground coal mines injuries statistics 2016-17</t>
  </si>
  <si>
    <t>Total 2016-17</t>
  </si>
  <si>
    <t>Underground coal mines injuries statistics 2017-18</t>
  </si>
  <si>
    <t>Total 2017-18</t>
  </si>
  <si>
    <t>Underground coal mines injuries statistics 2018-19</t>
  </si>
  <si>
    <t>Total 2018-19</t>
  </si>
  <si>
    <t>Ironbark No. 1</t>
  </si>
  <si>
    <t>SA</t>
  </si>
  <si>
    <t>As at 31/3/2019</t>
  </si>
  <si>
    <t>SAFR</t>
  </si>
  <si>
    <t>HPIFR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</si>
</sst>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00"/>
    <numFmt numFmtId="174" formatCode="0.0000"/>
    <numFmt numFmtId="175" formatCode="0.0"/>
    <numFmt numFmtId="176" formatCode="#,##0.000"/>
    <numFmt numFmtId="177" formatCode="0.00000"/>
    <numFmt numFmtId="178" formatCode="#\ ##0"/>
    <numFmt numFmtId="179" formatCode="###\ ###\ ###\ ##0"/>
    <numFmt numFmtId="180" formatCode="0.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"/>
    <numFmt numFmtId="186" formatCode="#,##0.00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6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.75"/>
      <color indexed="8"/>
      <name val="Arial"/>
      <family val="2"/>
    </font>
    <font>
      <sz val="11"/>
      <color indexed="8"/>
      <name val="Arial"/>
      <family val="2"/>
    </font>
    <font>
      <b/>
      <sz val="11.25"/>
      <color indexed="8"/>
      <name val="Arial"/>
      <family val="2"/>
    </font>
    <font>
      <sz val="11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 vertical="center"/>
    </xf>
    <xf numFmtId="172" fontId="0" fillId="0" borderId="0" xfId="0" applyNumberFormat="1" applyFont="1" applyAlignment="1" applyProtection="1">
      <alignment horizontal="left"/>
      <protection/>
    </xf>
    <xf numFmtId="172" fontId="6" fillId="0" borderId="0" xfId="0" applyNumberFormat="1" applyFont="1" applyBorder="1" applyAlignment="1" applyProtection="1">
      <alignment horizontal="left"/>
      <protection locked="0"/>
    </xf>
    <xf numFmtId="172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75" fontId="0" fillId="0" borderId="0" xfId="0" applyNumberFormat="1" applyFont="1" applyAlignment="1" applyProtection="1">
      <alignment/>
      <protection/>
    </xf>
    <xf numFmtId="175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 quotePrefix="1">
      <alignment horizontal="left"/>
    </xf>
    <xf numFmtId="178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174" fontId="0" fillId="0" borderId="0" xfId="0" applyNumberFormat="1" applyFill="1" applyBorder="1" applyAlignment="1">
      <alignment horizontal="center"/>
    </xf>
    <xf numFmtId="175" fontId="0" fillId="0" borderId="0" xfId="0" applyNumberFormat="1" applyFill="1" applyBorder="1" applyAlignment="1">
      <alignment/>
    </xf>
    <xf numFmtId="172" fontId="6" fillId="0" borderId="0" xfId="0" applyNumberFormat="1" applyFont="1" applyFill="1" applyBorder="1" applyAlignment="1" applyProtection="1">
      <alignment horizontal="left"/>
      <protection locked="0"/>
    </xf>
    <xf numFmtId="175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/>
    </xf>
    <xf numFmtId="1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72" fontId="6" fillId="33" borderId="0" xfId="0" applyNumberFormat="1" applyFont="1" applyFill="1" applyBorder="1" applyAlignment="1" applyProtection="1">
      <alignment horizontal="center" wrapText="1"/>
      <protection locked="0"/>
    </xf>
    <xf numFmtId="175" fontId="0" fillId="33" borderId="0" xfId="0" applyNumberFormat="1" applyFont="1" applyFill="1" applyAlignment="1" applyProtection="1">
      <alignment/>
      <protection/>
    </xf>
    <xf numFmtId="175" fontId="0" fillId="33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3" fontId="0" fillId="0" borderId="0" xfId="0" applyNumberFormat="1" applyFill="1" applyBorder="1" applyAlignment="1">
      <alignment horizontal="right" indent="1"/>
    </xf>
    <xf numFmtId="3" fontId="0" fillId="0" borderId="0" xfId="0" applyNumberFormat="1" applyFill="1" applyAlignment="1">
      <alignment horizontal="right" indent="1"/>
    </xf>
    <xf numFmtId="3" fontId="0" fillId="0" borderId="0" xfId="0" applyNumberFormat="1" applyFill="1" applyBorder="1" applyAlignment="1">
      <alignment horizontal="right" vertical="center" indent="1"/>
    </xf>
    <xf numFmtId="3" fontId="1" fillId="34" borderId="11" xfId="0" applyNumberFormat="1" applyFont="1" applyFill="1" applyBorder="1" applyAlignment="1">
      <alignment horizontal="right" indent="1"/>
    </xf>
    <xf numFmtId="174" fontId="0" fillId="0" borderId="0" xfId="0" applyNumberFormat="1" applyFill="1" applyBorder="1" applyAlignment="1">
      <alignment horizontal="right" indent="1"/>
    </xf>
    <xf numFmtId="174" fontId="1" fillId="34" borderId="11" xfId="0" applyNumberFormat="1" applyFont="1" applyFill="1" applyBorder="1" applyAlignment="1">
      <alignment horizontal="right" indent="1"/>
    </xf>
    <xf numFmtId="0" fontId="1" fillId="0" borderId="0" xfId="0" applyFont="1" applyAlignment="1">
      <alignment horizontal="center" wrapText="1"/>
    </xf>
    <xf numFmtId="3" fontId="0" fillId="0" borderId="0" xfId="0" applyNumberFormat="1" applyAlignment="1">
      <alignment horizontal="right"/>
    </xf>
    <xf numFmtId="185" fontId="0" fillId="33" borderId="0" xfId="0" applyNumberFormat="1" applyFill="1" applyAlignment="1">
      <alignment/>
    </xf>
    <xf numFmtId="185" fontId="0" fillId="0" borderId="0" xfId="0" applyNumberFormat="1" applyAlignment="1">
      <alignment/>
    </xf>
    <xf numFmtId="185" fontId="0" fillId="0" borderId="0" xfId="0" applyNumberFormat="1" applyFill="1" applyAlignment="1">
      <alignment horizontal="right" indent="1"/>
    </xf>
    <xf numFmtId="185" fontId="1" fillId="34" borderId="11" xfId="0" applyNumberFormat="1" applyFont="1" applyFill="1" applyBorder="1" applyAlignment="1">
      <alignment horizontal="right" indent="1"/>
    </xf>
    <xf numFmtId="1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 wrapText="1" indent="1"/>
    </xf>
    <xf numFmtId="0" fontId="1" fillId="0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right" wrapText="1" indent="1"/>
    </xf>
    <xf numFmtId="1" fontId="1" fillId="35" borderId="1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2" xfId="0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wrapText="1" indent="1"/>
    </xf>
    <xf numFmtId="0" fontId="1" fillId="35" borderId="0" xfId="0" applyFont="1" applyFill="1" applyBorder="1" applyAlignment="1">
      <alignment horizontal="right" wrapText="1" indent="1"/>
    </xf>
    <xf numFmtId="0" fontId="1" fillId="35" borderId="0" xfId="0" applyFont="1" applyFill="1" applyBorder="1" applyAlignment="1">
      <alignment horizontal="center" wrapText="1"/>
    </xf>
    <xf numFmtId="1" fontId="1" fillId="35" borderId="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 indent="1"/>
    </xf>
    <xf numFmtId="3" fontId="0" fillId="35" borderId="0" xfId="0" applyNumberFormat="1" applyFont="1" applyFill="1" applyBorder="1" applyAlignment="1">
      <alignment horizontal="right" indent="1"/>
    </xf>
    <xf numFmtId="3" fontId="0" fillId="35" borderId="0" xfId="0" applyNumberFormat="1" applyFill="1" applyAlignment="1">
      <alignment horizontal="right" indent="1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/>
    </xf>
    <xf numFmtId="3" fontId="0" fillId="0" borderId="0" xfId="0" applyNumberFormat="1" applyFont="1" applyFill="1" applyAlignment="1">
      <alignment horizontal="right" indent="1"/>
    </xf>
    <xf numFmtId="0" fontId="0" fillId="0" borderId="0" xfId="0" applyFill="1" applyAlignment="1">
      <alignment horizontal="right"/>
    </xf>
    <xf numFmtId="0" fontId="1" fillId="34" borderId="11" xfId="0" applyFont="1" applyFill="1" applyBorder="1" applyAlignment="1">
      <alignment/>
    </xf>
    <xf numFmtId="185" fontId="0" fillId="0" borderId="13" xfId="0" applyNumberFormat="1" applyFill="1" applyBorder="1" applyAlignment="1">
      <alignment horizontal="right" vertical="center" indent="1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ont="1" applyAlignment="1">
      <alignment horizontal="center"/>
    </xf>
    <xf numFmtId="175" fontId="0" fillId="0" borderId="0" xfId="0" applyNumberFormat="1" applyFont="1" applyAlignment="1" applyProtection="1">
      <alignment horizontal="center"/>
      <protection/>
    </xf>
    <xf numFmtId="175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4" fontId="0" fillId="0" borderId="0" xfId="0" applyNumberFormat="1" applyAlignment="1">
      <alignment horizontal="center"/>
    </xf>
    <xf numFmtId="174" fontId="0" fillId="0" borderId="10" xfId="0" applyNumberFormat="1" applyFill="1" applyBorder="1" applyAlignment="1">
      <alignment horizontal="center"/>
    </xf>
    <xf numFmtId="174" fontId="1" fillId="0" borderId="10" xfId="0" applyNumberFormat="1" applyFont="1" applyFill="1" applyBorder="1" applyAlignment="1">
      <alignment horizontal="center" wrapText="1"/>
    </xf>
    <xf numFmtId="174" fontId="1" fillId="0" borderId="0" xfId="0" applyNumberFormat="1" applyFont="1" applyFill="1" applyBorder="1" applyAlignment="1">
      <alignment horizontal="center" wrapText="1"/>
    </xf>
    <xf numFmtId="174" fontId="0" fillId="0" borderId="0" xfId="0" applyNumberFormat="1" applyFill="1" applyAlignment="1">
      <alignment horizontal="right" indent="1"/>
    </xf>
    <xf numFmtId="174" fontId="0" fillId="0" borderId="0" xfId="0" applyNumberFormat="1" applyFill="1" applyAlignment="1">
      <alignment horizontal="center"/>
    </xf>
    <xf numFmtId="174" fontId="0" fillId="0" borderId="0" xfId="0" applyNumberFormat="1" applyFont="1" applyAlignment="1">
      <alignment horizontal="center"/>
    </xf>
    <xf numFmtId="174" fontId="0" fillId="0" borderId="0" xfId="0" applyNumberFormat="1" applyFont="1" applyAlignment="1" applyProtection="1">
      <alignment horizontal="center"/>
      <protection/>
    </xf>
    <xf numFmtId="185" fontId="0" fillId="0" borderId="0" xfId="0" applyNumberFormat="1" applyFill="1" applyBorder="1" applyAlignment="1">
      <alignment horizontal="right" vertical="center" indent="1"/>
    </xf>
    <xf numFmtId="3" fontId="0" fillId="0" borderId="0" xfId="0" applyNumberFormat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 applyProtection="1">
      <alignment horizontal="center"/>
      <protection/>
    </xf>
    <xf numFmtId="186" fontId="0" fillId="0" borderId="0" xfId="0" applyNumberFormat="1" applyAlignment="1">
      <alignment horizontal="center"/>
    </xf>
    <xf numFmtId="186" fontId="0" fillId="0" borderId="10" xfId="0" applyNumberFormat="1" applyFill="1" applyBorder="1" applyAlignment="1">
      <alignment horizontal="center"/>
    </xf>
    <xf numFmtId="186" fontId="0" fillId="0" borderId="0" xfId="0" applyNumberFormat="1" applyFill="1" applyBorder="1" applyAlignment="1">
      <alignment horizontal="right" indent="1"/>
    </xf>
    <xf numFmtId="186" fontId="0" fillId="0" borderId="0" xfId="0" applyNumberFormat="1" applyFill="1" applyAlignment="1">
      <alignment horizontal="center"/>
    </xf>
    <xf numFmtId="186" fontId="0" fillId="0" borderId="0" xfId="0" applyNumberFormat="1" applyFont="1" applyAlignment="1">
      <alignment horizontal="center"/>
    </xf>
    <xf numFmtId="186" fontId="0" fillId="0" borderId="0" xfId="0" applyNumberFormat="1" applyFont="1" applyAlignment="1" applyProtection="1">
      <alignment horizontal="center"/>
      <protection/>
    </xf>
    <xf numFmtId="185" fontId="0" fillId="0" borderId="0" xfId="0" applyNumberFormat="1" applyAlignment="1">
      <alignment horizontal="center"/>
    </xf>
    <xf numFmtId="185" fontId="0" fillId="0" borderId="10" xfId="0" applyNumberFormat="1" applyFill="1" applyBorder="1" applyAlignment="1">
      <alignment horizontal="center"/>
    </xf>
    <xf numFmtId="185" fontId="0" fillId="0" borderId="0" xfId="0" applyNumberFormat="1" applyFill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186" fontId="0" fillId="0" borderId="0" xfId="0" applyNumberFormat="1" applyFill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85" fontId="0" fillId="0" borderId="0" xfId="0" applyNumberFormat="1" applyFill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 horizontal="right" vertical="center"/>
    </xf>
    <xf numFmtId="3" fontId="1" fillId="36" borderId="11" xfId="0" applyNumberFormat="1" applyFont="1" applyFill="1" applyBorder="1" applyAlignment="1">
      <alignment horizontal="right" vertical="center"/>
    </xf>
    <xf numFmtId="186" fontId="1" fillId="36" borderId="11" xfId="0" applyNumberFormat="1" applyFont="1" applyFill="1" applyBorder="1" applyAlignment="1">
      <alignment horizontal="right" vertical="center"/>
    </xf>
    <xf numFmtId="185" fontId="1" fillId="36" borderId="11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3" fontId="0" fillId="0" borderId="0" xfId="0" applyNumberForma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85" fontId="0" fillId="0" borderId="0" xfId="0" applyNumberFormat="1" applyFill="1" applyAlignment="1">
      <alignment vertical="center"/>
    </xf>
    <xf numFmtId="3" fontId="0" fillId="0" borderId="0" xfId="0" applyNumberFormat="1" applyFill="1" applyBorder="1" applyAlignment="1">
      <alignment vertical="center"/>
    </xf>
    <xf numFmtId="186" fontId="0" fillId="0" borderId="0" xfId="0" applyNumberFormat="1" applyFill="1" applyAlignment="1">
      <alignment vertical="center"/>
    </xf>
    <xf numFmtId="186" fontId="0" fillId="0" borderId="0" xfId="0" applyNumberFormat="1" applyFill="1" applyBorder="1" applyAlignment="1">
      <alignment vertical="center"/>
    </xf>
    <xf numFmtId="3" fontId="1" fillId="36" borderId="11" xfId="0" applyNumberFormat="1" applyFont="1" applyFill="1" applyBorder="1" applyAlignment="1">
      <alignment vertical="center"/>
    </xf>
    <xf numFmtId="186" fontId="1" fillId="36" borderId="11" xfId="0" applyNumberFormat="1" applyFont="1" applyFill="1" applyBorder="1" applyAlignment="1">
      <alignment vertical="center"/>
    </xf>
    <xf numFmtId="185" fontId="1" fillId="36" borderId="11" xfId="0" applyNumberFormat="1" applyFont="1" applyFill="1" applyBorder="1" applyAlignment="1">
      <alignment vertical="center"/>
    </xf>
    <xf numFmtId="0" fontId="1" fillId="36" borderId="11" xfId="0" applyFont="1" applyFill="1" applyBorder="1" applyAlignment="1">
      <alignment horizontal="left" vertical="center"/>
    </xf>
    <xf numFmtId="0" fontId="7" fillId="36" borderId="0" xfId="0" applyFont="1" applyFill="1" applyBorder="1" applyAlignment="1">
      <alignment horizontal="left" vertical="center"/>
    </xf>
    <xf numFmtId="3" fontId="1" fillId="36" borderId="0" xfId="0" applyNumberFormat="1" applyFont="1" applyFill="1" applyBorder="1" applyAlignment="1">
      <alignment horizontal="center" vertical="center" wrapText="1"/>
    </xf>
    <xf numFmtId="186" fontId="1" fillId="36" borderId="0" xfId="0" applyNumberFormat="1" applyFont="1" applyFill="1" applyBorder="1" applyAlignment="1">
      <alignment horizontal="center" vertical="center" wrapText="1"/>
    </xf>
    <xf numFmtId="185" fontId="1" fillId="36" borderId="0" xfId="0" applyNumberFormat="1" applyFont="1" applyFill="1" applyBorder="1" applyAlignment="1">
      <alignment horizontal="center" vertical="center" wrapText="1"/>
    </xf>
    <xf numFmtId="186" fontId="0" fillId="0" borderId="0" xfId="0" applyNumberFormat="1" applyFont="1" applyFill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185" fontId="0" fillId="0" borderId="10" xfId="0" applyNumberFormat="1" applyFill="1" applyBorder="1" applyAlignment="1">
      <alignment horizontal="right" vertical="center"/>
    </xf>
    <xf numFmtId="186" fontId="1" fillId="36" borderId="0" xfId="0" applyNumberFormat="1" applyFont="1" applyFill="1" applyBorder="1" applyAlignment="1">
      <alignment horizontal="center" vertical="center" wrapText="1"/>
    </xf>
    <xf numFmtId="185" fontId="1" fillId="36" borderId="0" xfId="0" applyNumberFormat="1" applyFont="1" applyFill="1" applyBorder="1" applyAlignment="1">
      <alignment horizontal="center" vertical="center" wrapText="1"/>
    </xf>
    <xf numFmtId="3" fontId="1" fillId="36" borderId="0" xfId="0" applyNumberFormat="1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2" fontId="0" fillId="0" borderId="0" xfId="0" applyNumberFormat="1" applyFont="1" applyAlignment="1" applyProtection="1">
      <alignment horizontal="center" vertical="center"/>
      <protection/>
    </xf>
    <xf numFmtId="172" fontId="0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75" fontId="1" fillId="36" borderId="0" xfId="0" applyNumberFormat="1" applyFont="1" applyFill="1" applyBorder="1" applyAlignment="1">
      <alignment horizontal="center" vertical="center" wrapText="1"/>
    </xf>
    <xf numFmtId="175" fontId="0" fillId="0" borderId="0" xfId="0" applyNumberFormat="1" applyAlignment="1">
      <alignment/>
    </xf>
    <xf numFmtId="175" fontId="0" fillId="0" borderId="0" xfId="0" applyNumberFormat="1" applyFill="1" applyBorder="1" applyAlignment="1">
      <alignment horizontal="right" vertical="center"/>
    </xf>
    <xf numFmtId="175" fontId="0" fillId="0" borderId="0" xfId="0" applyNumberFormat="1" applyAlignment="1">
      <alignment horizontal="center"/>
    </xf>
    <xf numFmtId="175" fontId="0" fillId="0" borderId="10" xfId="0" applyNumberFormat="1" applyFill="1" applyBorder="1" applyAlignment="1">
      <alignment horizontal="center"/>
    </xf>
    <xf numFmtId="175" fontId="0" fillId="0" borderId="0" xfId="0" applyNumberFormat="1" applyFill="1" applyAlignment="1">
      <alignment horizontal="right" vertical="center"/>
    </xf>
    <xf numFmtId="175" fontId="0" fillId="0" borderId="10" xfId="0" applyNumberFormat="1" applyFill="1" applyBorder="1" applyAlignment="1">
      <alignment horizontal="right" vertical="center"/>
    </xf>
    <xf numFmtId="175" fontId="1" fillId="36" borderId="11" xfId="0" applyNumberFormat="1" applyFont="1" applyFill="1" applyBorder="1" applyAlignment="1">
      <alignment horizontal="right" vertical="center"/>
    </xf>
    <xf numFmtId="175" fontId="0" fillId="0" borderId="0" xfId="0" applyNumberFormat="1" applyFill="1" applyAlignment="1">
      <alignment horizontal="right" indent="1"/>
    </xf>
    <xf numFmtId="175" fontId="0" fillId="0" borderId="0" xfId="0" applyNumberFormat="1" applyFill="1" applyAlignment="1">
      <alignment horizontal="center"/>
    </xf>
    <xf numFmtId="175" fontId="0" fillId="0" borderId="0" xfId="0" applyNumberFormat="1" applyFill="1" applyAlignment="1">
      <alignment vertical="center"/>
    </xf>
    <xf numFmtId="175" fontId="1" fillId="36" borderId="11" xfId="0" applyNumberFormat="1" applyFont="1" applyFill="1" applyBorder="1" applyAlignment="1">
      <alignment vertical="center"/>
    </xf>
    <xf numFmtId="175" fontId="1" fillId="36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0.08425"/>
          <c:w val="0.84725"/>
          <c:h val="0.87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'Jul-Sep Bar graphs'!$C$5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'Jul-Sep Bar graphs'!$A$6:$A$22</c:f>
              <c:strCache/>
            </c:strRef>
          </c:cat>
          <c:val>
            <c:numRef>
              <c:f>'Jul-Sep Bar graphs'!$C$6:$C$22</c:f>
              <c:numCache/>
            </c:numRef>
          </c:val>
        </c:ser>
        <c:ser>
          <c:idx val="1"/>
          <c:order val="1"/>
          <c:tx>
            <c:strRef>
              <c:f>'Jul-Sep Bar graphs'!$D$5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'Jul-Sep Bar graphs'!$A$6:$A$22</c:f>
              <c:strCache/>
            </c:strRef>
          </c:cat>
          <c:val>
            <c:numRef>
              <c:f>'Jul-Sep Bar graphs'!$D$6:$D$22</c:f>
              <c:numCache/>
            </c:numRef>
          </c:val>
        </c:ser>
        <c:ser>
          <c:idx val="2"/>
          <c:order val="2"/>
          <c:tx>
            <c:strRef>
              <c:f>'Jul-Sep Bar graphs'!$E$5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'Jul-Sep Bar graphs'!$A$6:$A$22</c:f>
              <c:strCache/>
            </c:strRef>
          </c:cat>
          <c:val>
            <c:numRef>
              <c:f>'Jul-Sep Bar graphs'!$E$6:$E$22</c:f>
              <c:numCache/>
            </c:numRef>
          </c:val>
        </c:ser>
        <c:axId val="22317585"/>
        <c:axId val="66016102"/>
      </c:barChart>
      <c:catAx>
        <c:axId val="223175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16102"/>
        <c:crosses val="autoZero"/>
        <c:auto val="0"/>
        <c:lblOffset val="100"/>
        <c:tickLblSkip val="1"/>
        <c:noMultiLvlLbl val="0"/>
      </c:catAx>
      <c:valAx>
        <c:axId val="66016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TRI per million hours worked</a:t>
                </a:r>
              </a:p>
            </c:rich>
          </c:tx>
          <c:layout>
            <c:manualLayout>
              <c:xMode val="factor"/>
              <c:yMode val="factor"/>
              <c:x val="0.0442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175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325"/>
          <c:y val="0.19425"/>
          <c:w val="0.12075"/>
          <c:h val="0.10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8425"/>
          <c:w val="0.84925"/>
          <c:h val="0.874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'2011-12 Quarterly Comparison'!$F$6</c:f>
              <c:strCache>
                <c:ptCount val="1"/>
                <c:pt idx="0">
                  <c:v>Jul-Jun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'2011-12 Quarterly Comparison'!$A$7:$A$23</c:f>
              <c:strCache/>
            </c:strRef>
          </c:cat>
          <c:val>
            <c:numRef>
              <c:f>'2011-12 Quarterly Comparison'!$F$7:$F$23</c:f>
              <c:numCache/>
            </c:numRef>
          </c:val>
        </c:ser>
        <c:ser>
          <c:idx val="2"/>
          <c:order val="1"/>
          <c:tx>
            <c:strRef>
              <c:f>'2011-12 Quarterly Comparison'!$E$6</c:f>
              <c:strCache>
                <c:ptCount val="1"/>
                <c:pt idx="0">
                  <c:v>Jul-Mar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'2011-12 Quarterly Comparison'!$A$7:$A$23</c:f>
              <c:strCache/>
            </c:strRef>
          </c:cat>
          <c:val>
            <c:numRef>
              <c:f>'2011-12 Quarterly Comparison'!$E$7:$E$23</c:f>
              <c:numCache/>
            </c:numRef>
          </c:val>
        </c:ser>
        <c:ser>
          <c:idx val="1"/>
          <c:order val="2"/>
          <c:tx>
            <c:strRef>
              <c:f>'2011-12 Quarterly Comparison'!$D$6</c:f>
              <c:strCache>
                <c:ptCount val="1"/>
                <c:pt idx="0">
                  <c:v>Jul-Dec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'2011-12 Quarterly Comparison'!$A$7:$A$23</c:f>
              <c:strCache/>
            </c:strRef>
          </c:cat>
          <c:val>
            <c:numRef>
              <c:f>'2011-12 Quarterly Comparison'!$D$7:$D$23</c:f>
              <c:numCache/>
            </c:numRef>
          </c:val>
        </c:ser>
        <c:ser>
          <c:idx val="0"/>
          <c:order val="3"/>
          <c:tx>
            <c:strRef>
              <c:f>'2011-12 Quarterly Comparison'!$C$6</c:f>
              <c:strCache>
                <c:ptCount val="1"/>
                <c:pt idx="0">
                  <c:v>Jul-Sep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'2011-12 Quarterly Comparison'!$A$7:$A$23</c:f>
              <c:strCache/>
            </c:strRef>
          </c:cat>
          <c:val>
            <c:numRef>
              <c:f>'2011-12 Quarterly Comparison'!$C$7:$C$23</c:f>
              <c:numCache/>
            </c:numRef>
          </c:val>
        </c:ser>
        <c:axId val="39746063"/>
        <c:axId val="29360956"/>
      </c:barChart>
      <c:catAx>
        <c:axId val="397460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60956"/>
        <c:crosses val="autoZero"/>
        <c:auto val="0"/>
        <c:lblOffset val="100"/>
        <c:tickLblSkip val="1"/>
        <c:noMultiLvlLbl val="0"/>
      </c:catAx>
      <c:valAx>
        <c:axId val="29360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TRI per million hours worked</a:t>
                </a:r>
              </a:p>
            </c:rich>
          </c:tx>
          <c:layout>
            <c:manualLayout>
              <c:xMode val="factor"/>
              <c:yMode val="factor"/>
              <c:x val="0.042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460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05"/>
          <c:y val="0.331"/>
          <c:w val="0.11125"/>
          <c:h val="0.0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25"/>
          <c:y val="0.081"/>
          <c:w val="0.846"/>
          <c:h val="0.88075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'2011-12 Quarterly Comparison'!$F$118</c:f>
              <c:strCache>
                <c:ptCount val="1"/>
                <c:pt idx="0">
                  <c:v>Jul-Jun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'2011-12 Quarterly Comparison'!$A$119:$A$135</c:f>
              <c:strCache/>
            </c:strRef>
          </c:cat>
          <c:val>
            <c:numRef>
              <c:f>'2011-12 Quarterly Comparison'!$F$119:$F$135</c:f>
              <c:numCache/>
            </c:numRef>
          </c:val>
        </c:ser>
        <c:ser>
          <c:idx val="2"/>
          <c:order val="1"/>
          <c:tx>
            <c:strRef>
              <c:f>'2011-12 Quarterly Comparison'!$E$118</c:f>
              <c:strCache>
                <c:ptCount val="1"/>
                <c:pt idx="0">
                  <c:v>Jul-Mar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'2011-12 Quarterly Comparison'!$A$119:$A$135</c:f>
              <c:strCache/>
            </c:strRef>
          </c:cat>
          <c:val>
            <c:numRef>
              <c:f>'2011-12 Quarterly Comparison'!$E$119:$E$135</c:f>
              <c:numCache/>
            </c:numRef>
          </c:val>
        </c:ser>
        <c:ser>
          <c:idx val="1"/>
          <c:order val="2"/>
          <c:tx>
            <c:strRef>
              <c:f>'2011-12 Quarterly Comparison'!$D$118</c:f>
              <c:strCache>
                <c:ptCount val="1"/>
                <c:pt idx="0">
                  <c:v>Jul-Dec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'2011-12 Quarterly Comparison'!$A$119:$A$135</c:f>
              <c:strCache/>
            </c:strRef>
          </c:cat>
          <c:val>
            <c:numRef>
              <c:f>'2011-12 Quarterly Comparison'!$D$119:$D$135</c:f>
              <c:numCache/>
            </c:numRef>
          </c:val>
        </c:ser>
        <c:ser>
          <c:idx val="0"/>
          <c:order val="3"/>
          <c:tx>
            <c:strRef>
              <c:f>'2011-12 Quarterly Comparison'!$C$118</c:f>
              <c:strCache>
                <c:ptCount val="1"/>
                <c:pt idx="0">
                  <c:v>Jul-Sep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'2011-12 Quarterly Comparison'!$A$119:$A$135</c:f>
              <c:strCache/>
            </c:strRef>
          </c:cat>
          <c:val>
            <c:numRef>
              <c:f>'2011-12 Quarterly Comparison'!$C$119:$C$135</c:f>
              <c:numCache/>
            </c:numRef>
          </c:val>
        </c:ser>
        <c:axId val="12600301"/>
        <c:axId val="63279730"/>
      </c:barChart>
      <c:catAx>
        <c:axId val="126003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79730"/>
        <c:crosses val="autoZero"/>
        <c:auto val="0"/>
        <c:lblOffset val="100"/>
        <c:tickLblSkip val="1"/>
        <c:noMultiLvlLbl val="0"/>
      </c:catAx>
      <c:valAx>
        <c:axId val="63279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days lost for each LTI/DI</a:t>
                </a:r>
              </a:p>
            </c:rich>
          </c:tx>
          <c:layout>
            <c:manualLayout>
              <c:xMode val="factor"/>
              <c:yMode val="factor"/>
              <c:x val="0.041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003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3"/>
          <c:y val="0.3535"/>
          <c:w val="0.126"/>
          <c:h val="0.0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75"/>
          <c:y val="0.089"/>
          <c:w val="0.92725"/>
          <c:h val="0.891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'2011-12 Quarterly Comparison'!$F$60</c:f>
              <c:strCache>
                <c:ptCount val="1"/>
                <c:pt idx="0">
                  <c:v>Jul-Jun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'2011-12 Quarterly Comparison'!$A$61:$A$77</c:f>
              <c:strCache/>
            </c:strRef>
          </c:cat>
          <c:val>
            <c:numRef>
              <c:f>'2011-12 Quarterly Comparison'!$F$61:$F$77</c:f>
              <c:numCache/>
            </c:numRef>
          </c:val>
        </c:ser>
        <c:ser>
          <c:idx val="2"/>
          <c:order val="1"/>
          <c:tx>
            <c:strRef>
              <c:f>'2011-12 Quarterly Comparison'!$E$60</c:f>
              <c:strCache>
                <c:ptCount val="1"/>
                <c:pt idx="0">
                  <c:v>Jul-Mar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'2011-12 Quarterly Comparison'!$A$61:$A$77</c:f>
              <c:strCache/>
            </c:strRef>
          </c:cat>
          <c:val>
            <c:numRef>
              <c:f>'2011-12 Quarterly Comparison'!$E$61:$E$77</c:f>
              <c:numCache/>
            </c:numRef>
          </c:val>
        </c:ser>
        <c:ser>
          <c:idx val="1"/>
          <c:order val="2"/>
          <c:tx>
            <c:strRef>
              <c:f>'2011-12 Quarterly Comparison'!$D$60</c:f>
              <c:strCache>
                <c:ptCount val="1"/>
                <c:pt idx="0">
                  <c:v>Jul-Dec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'2011-12 Quarterly Comparison'!$A$61:$A$77</c:f>
              <c:strCache/>
            </c:strRef>
          </c:cat>
          <c:val>
            <c:numRef>
              <c:f>'2011-12 Quarterly Comparison'!$D$61:$D$77</c:f>
              <c:numCache/>
            </c:numRef>
          </c:val>
        </c:ser>
        <c:ser>
          <c:idx val="0"/>
          <c:order val="3"/>
          <c:tx>
            <c:strRef>
              <c:f>'2011-12 Quarterly Comparison'!$C$60</c:f>
              <c:strCache>
                <c:ptCount val="1"/>
                <c:pt idx="0">
                  <c:v>Jul-Sep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'2011-12 Quarterly Comparison'!$A$61:$A$77</c:f>
              <c:strCache/>
            </c:strRef>
          </c:cat>
          <c:val>
            <c:numRef>
              <c:f>'2011-12 Quarterly Comparison'!$C$61:$C$77</c:f>
              <c:numCache/>
            </c:numRef>
          </c:val>
        </c:ser>
        <c:axId val="53805915"/>
        <c:axId val="56182392"/>
      </c:barChart>
      <c:catAx>
        <c:axId val="538059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82392"/>
        <c:crosses val="autoZero"/>
        <c:auto val="0"/>
        <c:lblOffset val="100"/>
        <c:tickLblSkip val="1"/>
        <c:noMultiLvlLbl val="0"/>
      </c:catAx>
      <c:valAx>
        <c:axId val="56182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LTI + DI Days lost per million hours worked</a:t>
                </a:r>
              </a:p>
            </c:rich>
          </c:tx>
          <c:layout>
            <c:manualLayout>
              <c:xMode val="factor"/>
              <c:yMode val="factor"/>
              <c:x val="0.059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059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75"/>
          <c:y val="0.40375"/>
          <c:w val="0.1212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25"/>
          <c:y val="0.08125"/>
          <c:w val="0.846"/>
          <c:h val="0.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'Jul-Sep Bar graphs'!$C$115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'Jul-Sep Bar graphs'!$A$116:$A$132</c:f>
              <c:strCache/>
            </c:strRef>
          </c:cat>
          <c:val>
            <c:numRef>
              <c:f>'Jul-Sep Bar graphs'!$C$116:$C$132</c:f>
              <c:numCache/>
            </c:numRef>
          </c:val>
        </c:ser>
        <c:ser>
          <c:idx val="1"/>
          <c:order val="1"/>
          <c:tx>
            <c:strRef>
              <c:f>'Jul-Sep Bar graphs'!$D$115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'Jul-Sep Bar graphs'!$A$116:$A$132</c:f>
              <c:strCache/>
            </c:strRef>
          </c:cat>
          <c:val>
            <c:numRef>
              <c:f>'Jul-Sep Bar graphs'!$D$116:$D$132</c:f>
              <c:numCache/>
            </c:numRef>
          </c:val>
        </c:ser>
        <c:ser>
          <c:idx val="2"/>
          <c:order val="2"/>
          <c:tx>
            <c:strRef>
              <c:f>'Jul-Sep Bar graphs'!$E$115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'Jul-Sep Bar graphs'!$A$116:$A$132</c:f>
              <c:strCache/>
            </c:strRef>
          </c:cat>
          <c:val>
            <c:numRef>
              <c:f>'Jul-Sep Bar graphs'!$E$116:$E$132</c:f>
              <c:numCache/>
            </c:numRef>
          </c:val>
        </c:ser>
        <c:axId val="44160863"/>
        <c:axId val="54962892"/>
      </c:barChart>
      <c:catAx>
        <c:axId val="441608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62892"/>
        <c:crosses val="autoZero"/>
        <c:auto val="0"/>
        <c:lblOffset val="100"/>
        <c:tickLblSkip val="1"/>
        <c:noMultiLvlLbl val="0"/>
      </c:catAx>
      <c:valAx>
        <c:axId val="54962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days lost for each LTI/DI</a:t>
                </a:r>
              </a:p>
            </c:rich>
          </c:tx>
          <c:layout>
            <c:manualLayout>
              <c:xMode val="factor"/>
              <c:yMode val="factor"/>
              <c:x val="0.04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608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9"/>
          <c:y val="0.33625"/>
          <c:w val="0.126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75"/>
          <c:y val="0.08925"/>
          <c:w val="0.92725"/>
          <c:h val="0.89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'Jul-Sep Bar graphs'!$C$58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'Jul-Sep Bar graphs'!$A$59:$A$75</c:f>
              <c:strCache/>
            </c:strRef>
          </c:cat>
          <c:val>
            <c:numRef>
              <c:f>'Jul-Sep Bar graphs'!$C$59:$C$75</c:f>
              <c:numCache/>
            </c:numRef>
          </c:val>
        </c:ser>
        <c:ser>
          <c:idx val="1"/>
          <c:order val="1"/>
          <c:tx>
            <c:strRef>
              <c:f>'Jul-Sep Bar graphs'!$D$58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'Jul-Sep Bar graphs'!$A$59:$A$75</c:f>
              <c:strCache/>
            </c:strRef>
          </c:cat>
          <c:val>
            <c:numRef>
              <c:f>'Jul-Sep Bar graphs'!$D$59:$D$75</c:f>
              <c:numCache/>
            </c:numRef>
          </c:val>
        </c:ser>
        <c:ser>
          <c:idx val="2"/>
          <c:order val="2"/>
          <c:tx>
            <c:strRef>
              <c:f>'Jul-Sep Bar graphs'!$E$58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'Jul-Sep Bar graphs'!$A$59:$A$75</c:f>
              <c:strCache/>
            </c:strRef>
          </c:cat>
          <c:val>
            <c:numRef>
              <c:f>'Jul-Sep Bar graphs'!$E$59:$E$75</c:f>
              <c:numCache/>
            </c:numRef>
          </c:val>
        </c:ser>
        <c:axId val="13370045"/>
        <c:axId val="12335490"/>
      </c:barChart>
      <c:catAx>
        <c:axId val="133700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35490"/>
        <c:crosses val="autoZero"/>
        <c:auto val="1"/>
        <c:lblOffset val="100"/>
        <c:tickLblSkip val="1"/>
        <c:noMultiLvlLbl val="0"/>
      </c:catAx>
      <c:valAx>
        <c:axId val="12335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LTI + DI Days lost per million hours worked</a:t>
                </a:r>
              </a:p>
            </c:rich>
          </c:tx>
          <c:layout>
            <c:manualLayout>
              <c:xMode val="factor"/>
              <c:yMode val="factor"/>
              <c:x val="0.06025"/>
              <c:y val="-0.0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700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55"/>
          <c:y val="0.377"/>
          <c:w val="0.1212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0.08425"/>
          <c:w val="0.84725"/>
          <c:h val="0.87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'Jul-Dec Bar graphs'!$C$5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'Jul-Dec Bar graphs'!$A$6:$A$22</c:f>
              <c:strCache/>
            </c:strRef>
          </c:cat>
          <c:val>
            <c:numRef>
              <c:f>'Jul-Dec Bar graphs'!$C$6:$C$22</c:f>
              <c:numCache/>
            </c:numRef>
          </c:val>
        </c:ser>
        <c:ser>
          <c:idx val="1"/>
          <c:order val="1"/>
          <c:tx>
            <c:strRef>
              <c:f>'Jul-Dec Bar graphs'!$D$5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'Jul-Dec Bar graphs'!$A$6:$A$22</c:f>
              <c:strCache/>
            </c:strRef>
          </c:cat>
          <c:val>
            <c:numRef>
              <c:f>'Jul-Dec Bar graphs'!$D$6:$D$22</c:f>
              <c:numCache/>
            </c:numRef>
          </c:val>
        </c:ser>
        <c:ser>
          <c:idx val="2"/>
          <c:order val="2"/>
          <c:tx>
            <c:strRef>
              <c:f>'Jul-Dec Bar graphs'!$E$5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'Jul-Dec Bar graphs'!$A$6:$A$22</c:f>
              <c:strCache/>
            </c:strRef>
          </c:cat>
          <c:val>
            <c:numRef>
              <c:f>'Jul-Dec Bar graphs'!$E$6:$E$22</c:f>
              <c:numCache/>
            </c:numRef>
          </c:val>
        </c:ser>
        <c:axId val="57718699"/>
        <c:axId val="4133128"/>
      </c:barChart>
      <c:catAx>
        <c:axId val="577186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3128"/>
        <c:crosses val="autoZero"/>
        <c:auto val="0"/>
        <c:lblOffset val="100"/>
        <c:tickLblSkip val="1"/>
        <c:noMultiLvlLbl val="0"/>
      </c:catAx>
      <c:valAx>
        <c:axId val="4133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TRI per million hours worked</a:t>
                </a:r>
              </a:p>
            </c:rich>
          </c:tx>
          <c:layout>
            <c:manualLayout>
              <c:xMode val="factor"/>
              <c:yMode val="factor"/>
              <c:x val="0.0442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186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25"/>
          <c:y val="0.26725"/>
          <c:w val="0.12075"/>
          <c:h val="0.10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25"/>
          <c:y val="0.08125"/>
          <c:w val="0.846"/>
          <c:h val="0.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'Jul-Dec Bar graphs'!$C$115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'Jul-Dec Bar graphs'!$A$116:$A$132</c:f>
              <c:strCache/>
            </c:strRef>
          </c:cat>
          <c:val>
            <c:numRef>
              <c:f>'Jul-Dec Bar graphs'!$C$116:$C$132</c:f>
              <c:numCache/>
            </c:numRef>
          </c:val>
        </c:ser>
        <c:ser>
          <c:idx val="1"/>
          <c:order val="1"/>
          <c:tx>
            <c:strRef>
              <c:f>'Jul-Dec Bar graphs'!$D$115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'Jul-Dec Bar graphs'!$A$116:$A$132</c:f>
              <c:strCache/>
            </c:strRef>
          </c:cat>
          <c:val>
            <c:numRef>
              <c:f>'Jul-Dec Bar graphs'!$D$116:$D$132</c:f>
              <c:numCache/>
            </c:numRef>
          </c:val>
        </c:ser>
        <c:ser>
          <c:idx val="2"/>
          <c:order val="2"/>
          <c:tx>
            <c:strRef>
              <c:f>'Jul-Dec Bar graphs'!$E$115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'Jul-Dec Bar graphs'!$A$116:$A$132</c:f>
              <c:strCache/>
            </c:strRef>
          </c:cat>
          <c:val>
            <c:numRef>
              <c:f>'Jul-Dec Bar graphs'!$E$116:$E$132</c:f>
              <c:numCache/>
            </c:numRef>
          </c:val>
        </c:ser>
        <c:axId val="19686825"/>
        <c:axId val="10770142"/>
      </c:barChart>
      <c:catAx>
        <c:axId val="196868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70142"/>
        <c:crosses val="autoZero"/>
        <c:auto val="0"/>
        <c:lblOffset val="100"/>
        <c:tickLblSkip val="1"/>
        <c:noMultiLvlLbl val="0"/>
      </c:catAx>
      <c:valAx>
        <c:axId val="10770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days lost for each LTI/DI</a:t>
                </a:r>
              </a:p>
            </c:rich>
          </c:tx>
          <c:layout>
            <c:manualLayout>
              <c:xMode val="factor"/>
              <c:yMode val="factor"/>
              <c:x val="0.04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868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432"/>
          <c:w val="0.126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75"/>
          <c:y val="0.08925"/>
          <c:w val="0.92725"/>
          <c:h val="0.89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'Jul-Dec Bar graphs'!$C$58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'Jul-Dec Bar graphs'!$A$59:$A$75</c:f>
              <c:strCache/>
            </c:strRef>
          </c:cat>
          <c:val>
            <c:numRef>
              <c:f>'Jul-Dec Bar graphs'!$C$59:$C$75</c:f>
              <c:numCache/>
            </c:numRef>
          </c:val>
        </c:ser>
        <c:ser>
          <c:idx val="1"/>
          <c:order val="1"/>
          <c:tx>
            <c:strRef>
              <c:f>'Jul-Dec Bar graphs'!$D$58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'Jul-Dec Bar graphs'!$A$59:$A$75</c:f>
              <c:strCache/>
            </c:strRef>
          </c:cat>
          <c:val>
            <c:numRef>
              <c:f>'Jul-Dec Bar graphs'!$D$59:$D$75</c:f>
              <c:numCache/>
            </c:numRef>
          </c:val>
        </c:ser>
        <c:ser>
          <c:idx val="2"/>
          <c:order val="2"/>
          <c:tx>
            <c:strRef>
              <c:f>'Jul-Dec Bar graphs'!$E$58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'Jul-Dec Bar graphs'!$A$59:$A$75</c:f>
              <c:strCache/>
            </c:strRef>
          </c:cat>
          <c:val>
            <c:numRef>
              <c:f>'Jul-Dec Bar graphs'!$E$59:$E$75</c:f>
              <c:numCache/>
            </c:numRef>
          </c:val>
        </c:ser>
        <c:axId val="24846391"/>
        <c:axId val="52012164"/>
      </c:barChart>
      <c:catAx>
        <c:axId val="248463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12164"/>
        <c:crosses val="autoZero"/>
        <c:auto val="1"/>
        <c:lblOffset val="100"/>
        <c:tickLblSkip val="1"/>
        <c:noMultiLvlLbl val="0"/>
      </c:catAx>
      <c:valAx>
        <c:axId val="52012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LTI + DI Days lost per million hours worked</a:t>
                </a:r>
              </a:p>
            </c:rich>
          </c:tx>
          <c:layout>
            <c:manualLayout>
              <c:xMode val="factor"/>
              <c:yMode val="factor"/>
              <c:x val="0.06025"/>
              <c:y val="-0.0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463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15"/>
          <c:y val="0.3975"/>
          <c:w val="0.1212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0.08425"/>
          <c:w val="0.84725"/>
          <c:h val="0.87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'Jul-Mar Bar graphs'!$C$5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'Jul-Mar Bar graphs'!$A$6:$A$22</c:f>
              <c:strCache/>
            </c:strRef>
          </c:cat>
          <c:val>
            <c:numRef>
              <c:f>'Jul-Mar Bar graphs'!$C$6:$C$22</c:f>
              <c:numCache/>
            </c:numRef>
          </c:val>
        </c:ser>
        <c:ser>
          <c:idx val="1"/>
          <c:order val="1"/>
          <c:tx>
            <c:strRef>
              <c:f>'Jul-Mar Bar graphs'!$D$5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'Jul-Mar Bar graphs'!$A$6:$A$22</c:f>
              <c:strCache/>
            </c:strRef>
          </c:cat>
          <c:val>
            <c:numRef>
              <c:f>'Jul-Mar Bar graphs'!$D$6:$D$22</c:f>
              <c:numCache/>
            </c:numRef>
          </c:val>
        </c:ser>
        <c:ser>
          <c:idx val="2"/>
          <c:order val="2"/>
          <c:tx>
            <c:strRef>
              <c:f>'Jul-Mar Bar graphs'!$E$5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'Jul-Mar Bar graphs'!$A$6:$A$22</c:f>
              <c:strCache/>
            </c:strRef>
          </c:cat>
          <c:val>
            <c:numRef>
              <c:f>'Jul-Mar Bar graphs'!$E$6:$E$22</c:f>
              <c:numCache/>
            </c:numRef>
          </c:val>
        </c:ser>
        <c:axId val="18513621"/>
        <c:axId val="53241722"/>
      </c:barChart>
      <c:catAx>
        <c:axId val="185136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41722"/>
        <c:crosses val="autoZero"/>
        <c:auto val="0"/>
        <c:lblOffset val="100"/>
        <c:tickLblSkip val="1"/>
        <c:noMultiLvlLbl val="0"/>
      </c:catAx>
      <c:valAx>
        <c:axId val="53241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TRI per million hours worked</a:t>
                </a:r>
              </a:p>
            </c:rich>
          </c:tx>
          <c:layout>
            <c:manualLayout>
              <c:xMode val="factor"/>
              <c:yMode val="factor"/>
              <c:x val="0.0442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136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25"/>
          <c:y val="0.26725"/>
          <c:w val="0.12075"/>
          <c:h val="0.10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25"/>
          <c:y val="0.08125"/>
          <c:w val="0.846"/>
          <c:h val="0.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'Jul-Mar Bar graphs'!$C$115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'Jul-Mar Bar graphs'!$A$116:$A$132</c:f>
              <c:strCache/>
            </c:strRef>
          </c:cat>
          <c:val>
            <c:numRef>
              <c:f>'Jul-Mar Bar graphs'!$C$116:$C$132</c:f>
              <c:numCache/>
            </c:numRef>
          </c:val>
        </c:ser>
        <c:ser>
          <c:idx val="1"/>
          <c:order val="1"/>
          <c:tx>
            <c:strRef>
              <c:f>'Jul-Mar Bar graphs'!$D$115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'Jul-Mar Bar graphs'!$A$116:$A$132</c:f>
              <c:strCache/>
            </c:strRef>
          </c:cat>
          <c:val>
            <c:numRef>
              <c:f>'Jul-Mar Bar graphs'!$D$116:$D$132</c:f>
              <c:numCache/>
            </c:numRef>
          </c:val>
        </c:ser>
        <c:ser>
          <c:idx val="2"/>
          <c:order val="2"/>
          <c:tx>
            <c:strRef>
              <c:f>'Jul-Mar Bar graphs'!$E$115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'Jul-Mar Bar graphs'!$A$116:$A$132</c:f>
              <c:strCache/>
            </c:strRef>
          </c:cat>
          <c:val>
            <c:numRef>
              <c:f>'Jul-Mar Bar graphs'!$E$116:$E$132</c:f>
              <c:numCache/>
            </c:numRef>
          </c:val>
        </c:ser>
        <c:axId val="44334339"/>
        <c:axId val="58605888"/>
      </c:barChart>
      <c:catAx>
        <c:axId val="443343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05888"/>
        <c:crosses val="autoZero"/>
        <c:auto val="0"/>
        <c:lblOffset val="100"/>
        <c:tickLblSkip val="1"/>
        <c:noMultiLvlLbl val="0"/>
      </c:catAx>
      <c:valAx>
        <c:axId val="58605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days lost for each LTI/DI</a:t>
                </a:r>
              </a:p>
            </c:rich>
          </c:tx>
          <c:layout>
            <c:manualLayout>
              <c:xMode val="factor"/>
              <c:yMode val="factor"/>
              <c:x val="0.04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343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"/>
          <c:y val="0.42475"/>
          <c:w val="0.126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75"/>
          <c:y val="0.08925"/>
          <c:w val="0.92725"/>
          <c:h val="0.89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'Jul-Mar Bar graphs'!$C$58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'Jul-Mar Bar graphs'!$A$59:$A$75</c:f>
              <c:strCache/>
            </c:strRef>
          </c:cat>
          <c:val>
            <c:numRef>
              <c:f>'Jul-Mar Bar graphs'!$C$59:$C$75</c:f>
              <c:numCache/>
            </c:numRef>
          </c:val>
        </c:ser>
        <c:ser>
          <c:idx val="1"/>
          <c:order val="1"/>
          <c:tx>
            <c:strRef>
              <c:f>'Jul-Mar Bar graphs'!$D$58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'Jul-Mar Bar graphs'!$A$59:$A$75</c:f>
              <c:strCache/>
            </c:strRef>
          </c:cat>
          <c:val>
            <c:numRef>
              <c:f>'Jul-Mar Bar graphs'!$D$59:$D$75</c:f>
              <c:numCache/>
            </c:numRef>
          </c:val>
        </c:ser>
        <c:ser>
          <c:idx val="2"/>
          <c:order val="2"/>
          <c:tx>
            <c:strRef>
              <c:f>'Jul-Mar Bar graphs'!$E$58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'Jul-Mar Bar graphs'!$A$59:$A$75</c:f>
              <c:strCache/>
            </c:strRef>
          </c:cat>
          <c:val>
            <c:numRef>
              <c:f>'Jul-Mar Bar graphs'!$E$59:$E$75</c:f>
              <c:numCache/>
            </c:numRef>
          </c:val>
        </c:ser>
        <c:axId val="22764097"/>
        <c:axId val="8283990"/>
      </c:barChart>
      <c:catAx>
        <c:axId val="227640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83990"/>
        <c:crosses val="autoZero"/>
        <c:auto val="1"/>
        <c:lblOffset val="100"/>
        <c:tickLblSkip val="1"/>
        <c:noMultiLvlLbl val="0"/>
      </c:catAx>
      <c:valAx>
        <c:axId val="8283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LTI + DI Days lost per million hours worked</a:t>
                </a:r>
              </a:p>
            </c:rich>
          </c:tx>
          <c:layout>
            <c:manualLayout>
              <c:xMode val="factor"/>
              <c:yMode val="factor"/>
              <c:x val="0.060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640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25"/>
          <c:y val="0.19275"/>
          <c:w val="0.1212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0.0785</cdr:y>
    </cdr:from>
    <cdr:to>
      <cdr:x>0.9805</cdr:x>
      <cdr:y>0.0785</cdr:y>
    </cdr:to>
    <cdr:sp>
      <cdr:nvSpPr>
        <cdr:cNvPr id="1" name="Line 1"/>
        <cdr:cNvSpPr>
          <a:spLocks/>
        </cdr:cNvSpPr>
      </cdr:nvSpPr>
      <cdr:spPr>
        <a:xfrm>
          <a:off x="0" y="590550"/>
          <a:ext cx="56292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-0.00325</cdr:x>
      <cdr:y>0</cdr:y>
    </cdr:from>
    <cdr:to>
      <cdr:x>1</cdr:x>
      <cdr:y>0.0785</cdr:y>
    </cdr:to>
    <cdr:sp>
      <cdr:nvSpPr>
        <cdr:cNvPr id="2" name="Text Box 2"/>
        <cdr:cNvSpPr txBox="1">
          <a:spLocks noChangeArrowheads="1"/>
        </cdr:cNvSpPr>
      </cdr:nvSpPr>
      <cdr:spPr>
        <a:xfrm>
          <a:off x="-9524" y="0"/>
          <a:ext cx="581025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Underground Coal Mines Jul-Sep 2011-12
</a:t>
          </a:r>
          <a:r>
            <a:rPr lang="en-US" cap="none" sz="10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Recordable Injury Frequency Rate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order of 2011-12 performance</a:t>
          </a:r>
        </a:p>
      </cdr:txBody>
    </cdr:sp>
  </cdr:relSizeAnchor>
  <cdr:relSizeAnchor xmlns:cdr="http://schemas.openxmlformats.org/drawingml/2006/chartDrawing">
    <cdr:from>
      <cdr:x>0.53775</cdr:x>
      <cdr:y>0.334</cdr:y>
    </cdr:from>
    <cdr:to>
      <cdr:x>1</cdr:x>
      <cdr:y>0.3845</cdr:y>
    </cdr:to>
    <cdr:sp>
      <cdr:nvSpPr>
        <cdr:cNvPr id="3" name="Text Box 3"/>
        <cdr:cNvSpPr txBox="1">
          <a:spLocks noChangeArrowheads="1"/>
        </cdr:cNvSpPr>
      </cdr:nvSpPr>
      <cdr:spPr>
        <a:xfrm>
          <a:off x="3086100" y="2514600"/>
          <a:ext cx="27051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) = Number of employees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 at 30/9/2011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0.06775</cdr:y>
    </cdr:from>
    <cdr:to>
      <cdr:x>0.9825</cdr:x>
      <cdr:y>0.06825</cdr:y>
    </cdr:to>
    <cdr:sp>
      <cdr:nvSpPr>
        <cdr:cNvPr id="1" name="Line 1"/>
        <cdr:cNvSpPr>
          <a:spLocks/>
        </cdr:cNvSpPr>
      </cdr:nvSpPr>
      <cdr:spPr>
        <a:xfrm>
          <a:off x="0" y="619125"/>
          <a:ext cx="54102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0.4745</cdr:x>
      <cdr:y>0.53325</cdr:y>
    </cdr:from>
    <cdr:to>
      <cdr:x>1</cdr:x>
      <cdr:y>0.571</cdr:y>
    </cdr:to>
    <cdr:sp>
      <cdr:nvSpPr>
        <cdr:cNvPr id="2" name="Text Box 2"/>
        <cdr:cNvSpPr txBox="1">
          <a:spLocks noChangeArrowheads="1"/>
        </cdr:cNvSpPr>
      </cdr:nvSpPr>
      <cdr:spPr>
        <a:xfrm>
          <a:off x="2609850" y="4895850"/>
          <a:ext cx="29432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) = Number of employees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 at 31/3/2012</a:t>
          </a:r>
        </a:p>
      </cdr:txBody>
    </cdr:sp>
  </cdr:relSizeAnchor>
  <cdr:relSizeAnchor xmlns:cdr="http://schemas.openxmlformats.org/drawingml/2006/chartDrawing">
    <cdr:from>
      <cdr:x>-0.00275</cdr:x>
      <cdr:y>0</cdr:y>
    </cdr:from>
    <cdr:to>
      <cdr:x>1</cdr:x>
      <cdr:y>0.06725</cdr:y>
    </cdr:to>
    <cdr:sp>
      <cdr:nvSpPr>
        <cdr:cNvPr id="3" name="Text Box 3"/>
        <cdr:cNvSpPr txBox="1">
          <a:spLocks noChangeArrowheads="1"/>
        </cdr:cNvSpPr>
      </cdr:nvSpPr>
      <cdr:spPr>
        <a:xfrm>
          <a:off x="-9524" y="0"/>
          <a:ext cx="55721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Underground Coal Mines Jul-Mar 2011-12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Lost Time Injury + Disabling Injury Duration Rate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order of 2011-12 performance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</cdr:y>
    </cdr:from>
    <cdr:to>
      <cdr:x>0.9685</cdr:x>
      <cdr:y>0.06325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565785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Underground Coal Mines Jul-Mar 2011-12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Lost Time Injury + Disabling Injury Severity Rate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order of 2011-12 performance</a:t>
          </a:r>
        </a:p>
      </cdr:txBody>
    </cdr:sp>
  </cdr:relSizeAnchor>
  <cdr:relSizeAnchor xmlns:cdr="http://schemas.openxmlformats.org/drawingml/2006/chartDrawing">
    <cdr:from>
      <cdr:x>0.60675</cdr:x>
      <cdr:y>0.29025</cdr:y>
    </cdr:from>
    <cdr:to>
      <cdr:x>0.9135</cdr:x>
      <cdr:y>0.33775</cdr:y>
    </cdr:to>
    <cdr:sp>
      <cdr:nvSpPr>
        <cdr:cNvPr id="2" name="Text Box 2"/>
        <cdr:cNvSpPr txBox="1">
          <a:spLocks noChangeArrowheads="1"/>
        </cdr:cNvSpPr>
      </cdr:nvSpPr>
      <cdr:spPr>
        <a:xfrm>
          <a:off x="3533775" y="2514600"/>
          <a:ext cx="17907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) = Number of employees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 at 31/3/2012</a:t>
          </a:r>
        </a:p>
      </cdr:txBody>
    </cdr:sp>
  </cdr:relSizeAnchor>
  <cdr:relSizeAnchor xmlns:cdr="http://schemas.openxmlformats.org/drawingml/2006/chartDrawing">
    <cdr:from>
      <cdr:x>0.01825</cdr:x>
      <cdr:y>0.07325</cdr:y>
    </cdr:from>
    <cdr:to>
      <cdr:x>0.9845</cdr:x>
      <cdr:y>0.07325</cdr:y>
    </cdr:to>
    <cdr:sp>
      <cdr:nvSpPr>
        <cdr:cNvPr id="3" name="Line 3"/>
        <cdr:cNvSpPr>
          <a:spLocks/>
        </cdr:cNvSpPr>
      </cdr:nvSpPr>
      <cdr:spPr>
        <a:xfrm>
          <a:off x="104775" y="628650"/>
          <a:ext cx="56388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47625</xdr:rowOff>
    </xdr:from>
    <xdr:to>
      <xdr:col>15</xdr:col>
      <xdr:colOff>0</xdr:colOff>
      <xdr:row>49</xdr:row>
      <xdr:rowOff>152400</xdr:rowOff>
    </xdr:to>
    <xdr:graphicFrame>
      <xdr:nvGraphicFramePr>
        <xdr:cNvPr id="1" name="Chart 1"/>
        <xdr:cNvGraphicFramePr/>
      </xdr:nvGraphicFramePr>
      <xdr:xfrm>
        <a:off x="6048375" y="533400"/>
        <a:ext cx="5743575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110</xdr:row>
      <xdr:rowOff>19050</xdr:rowOff>
    </xdr:from>
    <xdr:to>
      <xdr:col>15</xdr:col>
      <xdr:colOff>0</xdr:colOff>
      <xdr:row>164</xdr:row>
      <xdr:rowOff>133350</xdr:rowOff>
    </xdr:to>
    <xdr:graphicFrame>
      <xdr:nvGraphicFramePr>
        <xdr:cNvPr id="2" name="Chart 2"/>
        <xdr:cNvGraphicFramePr/>
      </xdr:nvGraphicFramePr>
      <xdr:xfrm>
        <a:off x="6286500" y="18164175"/>
        <a:ext cx="5505450" cy="9191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55</xdr:row>
      <xdr:rowOff>0</xdr:rowOff>
    </xdr:from>
    <xdr:to>
      <xdr:col>15</xdr:col>
      <xdr:colOff>95250</xdr:colOff>
      <xdr:row>106</xdr:row>
      <xdr:rowOff>104775</xdr:rowOff>
    </xdr:to>
    <xdr:graphicFrame>
      <xdr:nvGraphicFramePr>
        <xdr:cNvPr id="3" name="Chart 3"/>
        <xdr:cNvGraphicFramePr/>
      </xdr:nvGraphicFramePr>
      <xdr:xfrm>
        <a:off x="6048375" y="8905875"/>
        <a:ext cx="5838825" cy="8696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0.0635</cdr:y>
    </cdr:from>
    <cdr:to>
      <cdr:x>0.98075</cdr:x>
      <cdr:y>0.06425</cdr:y>
    </cdr:to>
    <cdr:sp>
      <cdr:nvSpPr>
        <cdr:cNvPr id="1" name="Line 1025"/>
        <cdr:cNvSpPr>
          <a:spLocks/>
        </cdr:cNvSpPr>
      </cdr:nvSpPr>
      <cdr:spPr>
        <a:xfrm>
          <a:off x="0" y="495300"/>
          <a:ext cx="6105525" cy="952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0.0055</cdr:y>
    </cdr:from>
    <cdr:to>
      <cdr:x>0.985</cdr:x>
      <cdr:y>0.07625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0" y="38100"/>
          <a:ext cx="61245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Underground Coal Mines - Total Recordable Injury Frequency Rate
</a:t>
          </a:r>
          <a:r>
            <a: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2011-12 Quarterly Comparison</a:t>
          </a:r>
        </a:p>
      </cdr:txBody>
    </cdr:sp>
  </cdr:relSizeAnchor>
  <cdr:relSizeAnchor xmlns:cdr="http://schemas.openxmlformats.org/drawingml/2006/chartDrawing">
    <cdr:from>
      <cdr:x>0.6405</cdr:x>
      <cdr:y>0.4755</cdr:y>
    </cdr:from>
    <cdr:to>
      <cdr:x>0.9315</cdr:x>
      <cdr:y>0.52375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3981450" y="3714750"/>
          <a:ext cx="18097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) = Number of employees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 at 30/6/2012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0.062</cdr:y>
    </cdr:from>
    <cdr:to>
      <cdr:x>0.997</cdr:x>
      <cdr:y>0.06275</cdr:y>
    </cdr:to>
    <cdr:sp>
      <cdr:nvSpPr>
        <cdr:cNvPr id="1" name="Line 1"/>
        <cdr:cNvSpPr>
          <a:spLocks/>
        </cdr:cNvSpPr>
      </cdr:nvSpPr>
      <cdr:spPr>
        <a:xfrm>
          <a:off x="0" y="571500"/>
          <a:ext cx="5486400" cy="952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0.60625</cdr:x>
      <cdr:y>0.467</cdr:y>
    </cdr:from>
    <cdr:to>
      <cdr:x>0.9945</cdr:x>
      <cdr:y>0.50375</cdr:y>
    </cdr:to>
    <cdr:sp>
      <cdr:nvSpPr>
        <cdr:cNvPr id="2" name="Text Box 2"/>
        <cdr:cNvSpPr txBox="1">
          <a:spLocks noChangeArrowheads="1"/>
        </cdr:cNvSpPr>
      </cdr:nvSpPr>
      <cdr:spPr>
        <a:xfrm>
          <a:off x="3333750" y="4362450"/>
          <a:ext cx="21336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) = Number of employees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 at 30/6/2012</a:t>
          </a:r>
        </a:p>
      </cdr:txBody>
    </cdr:sp>
  </cdr:relSizeAnchor>
  <cdr:relSizeAnchor xmlns:cdr="http://schemas.openxmlformats.org/drawingml/2006/chartDrawing">
    <cdr:from>
      <cdr:x>-0.00425</cdr:x>
      <cdr:y>0</cdr:y>
    </cdr:from>
    <cdr:to>
      <cdr:x>1</cdr:x>
      <cdr:y>0.0495</cdr:y>
    </cdr:to>
    <cdr:sp>
      <cdr:nvSpPr>
        <cdr:cNvPr id="3" name="Text Box 3"/>
        <cdr:cNvSpPr txBox="1">
          <a:spLocks noChangeArrowheads="1"/>
        </cdr:cNvSpPr>
      </cdr:nvSpPr>
      <cdr:spPr>
        <a:xfrm>
          <a:off x="-19049" y="0"/>
          <a:ext cx="558165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Underground Coal Mines - Lost Time Injury + Disabling Injury Duration Rate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2011-12 Quarterly Comparison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</cdr:y>
    </cdr:from>
    <cdr:to>
      <cdr:x>0.961</cdr:x>
      <cdr:y>0.06475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0"/>
          <a:ext cx="561022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Underground Coal Mines - Lost Time Injury + Disabling Injury Severity Rate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2011-12 Quarterly Comparison</a:t>
          </a:r>
        </a:p>
      </cdr:txBody>
    </cdr:sp>
  </cdr:relSizeAnchor>
  <cdr:relSizeAnchor xmlns:cdr="http://schemas.openxmlformats.org/drawingml/2006/chartDrawing">
    <cdr:from>
      <cdr:x>0.576</cdr:x>
      <cdr:y>0.52925</cdr:y>
    </cdr:from>
    <cdr:to>
      <cdr:x>0.89475</cdr:x>
      <cdr:y>0.57675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3362325" y="4686300"/>
          <a:ext cx="18573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) = Number of employees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 at 30/6/2012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47625</xdr:rowOff>
    </xdr:from>
    <xdr:to>
      <xdr:col>16</xdr:col>
      <xdr:colOff>476250</xdr:colOff>
      <xdr:row>51</xdr:row>
      <xdr:rowOff>104775</xdr:rowOff>
    </xdr:to>
    <xdr:graphicFrame>
      <xdr:nvGraphicFramePr>
        <xdr:cNvPr id="1" name="Chart 1"/>
        <xdr:cNvGraphicFramePr/>
      </xdr:nvGraphicFramePr>
      <xdr:xfrm>
        <a:off x="6048375" y="533400"/>
        <a:ext cx="6219825" cy="782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238125</xdr:colOff>
      <xdr:row>112</xdr:row>
      <xdr:rowOff>19050</xdr:rowOff>
    </xdr:from>
    <xdr:to>
      <xdr:col>16</xdr:col>
      <xdr:colOff>0</xdr:colOff>
      <xdr:row>167</xdr:row>
      <xdr:rowOff>133350</xdr:rowOff>
    </xdr:to>
    <xdr:graphicFrame>
      <xdr:nvGraphicFramePr>
        <xdr:cNvPr id="2" name="Chart 2"/>
        <xdr:cNvGraphicFramePr/>
      </xdr:nvGraphicFramePr>
      <xdr:xfrm>
        <a:off x="6286500" y="18488025"/>
        <a:ext cx="5505450" cy="935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56</xdr:row>
      <xdr:rowOff>0</xdr:rowOff>
    </xdr:from>
    <xdr:to>
      <xdr:col>16</xdr:col>
      <xdr:colOff>95250</xdr:colOff>
      <xdr:row>108</xdr:row>
      <xdr:rowOff>104775</xdr:rowOff>
    </xdr:to>
    <xdr:graphicFrame>
      <xdr:nvGraphicFramePr>
        <xdr:cNvPr id="3" name="Chart 3"/>
        <xdr:cNvGraphicFramePr/>
      </xdr:nvGraphicFramePr>
      <xdr:xfrm>
        <a:off x="6048375" y="9067800"/>
        <a:ext cx="5838825" cy="8858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114300</xdr:colOff>
      <xdr:row>57</xdr:row>
      <xdr:rowOff>400050</xdr:rowOff>
    </xdr:from>
    <xdr:to>
      <xdr:col>15</xdr:col>
      <xdr:colOff>476250</xdr:colOff>
      <xdr:row>57</xdr:row>
      <xdr:rowOff>400050</xdr:rowOff>
    </xdr:to>
    <xdr:sp>
      <xdr:nvSpPr>
        <xdr:cNvPr id="4" name="Line 4"/>
        <xdr:cNvSpPr>
          <a:spLocks/>
        </xdr:cNvSpPr>
      </xdr:nvSpPr>
      <xdr:spPr>
        <a:xfrm>
          <a:off x="6162675" y="9629775"/>
          <a:ext cx="5495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0.072</cdr:y>
    </cdr:from>
    <cdr:to>
      <cdr:x>0.9825</cdr:x>
      <cdr:y>0.0725</cdr:y>
    </cdr:to>
    <cdr:sp>
      <cdr:nvSpPr>
        <cdr:cNvPr id="1" name="Line 1025"/>
        <cdr:cNvSpPr>
          <a:spLocks/>
        </cdr:cNvSpPr>
      </cdr:nvSpPr>
      <cdr:spPr>
        <a:xfrm>
          <a:off x="0" y="657225"/>
          <a:ext cx="54102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0.4745</cdr:x>
      <cdr:y>0.48375</cdr:y>
    </cdr:from>
    <cdr:to>
      <cdr:x>1</cdr:x>
      <cdr:y>0.52125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2609850" y="4438650"/>
          <a:ext cx="29432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) = Number of employees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 at 30/9/2011</a:t>
          </a:r>
        </a:p>
      </cdr:txBody>
    </cdr:sp>
  </cdr:relSizeAnchor>
  <cdr:relSizeAnchor xmlns:cdr="http://schemas.openxmlformats.org/drawingml/2006/chartDrawing">
    <cdr:from>
      <cdr:x>-0.00275</cdr:x>
      <cdr:y>0</cdr:y>
    </cdr:from>
    <cdr:to>
      <cdr:x>1</cdr:x>
      <cdr:y>0.06525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-9524" y="0"/>
          <a:ext cx="557212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Underground Coal Mines Jul-Sep 2011-12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Lost Time Injury + Disabling Injury Duration Rate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order of 2011-12 performance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</cdr:y>
    </cdr:from>
    <cdr:to>
      <cdr:x>0.95875</cdr:x>
      <cdr:y>0.06575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560070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Underground Coal Mines Jul-Sep 2011-12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Lost Time Injury + Disabling Injury Severity Rate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order of 2011-12 performance</a:t>
          </a:r>
        </a:p>
      </cdr:txBody>
    </cdr:sp>
  </cdr:relSizeAnchor>
  <cdr:relSizeAnchor xmlns:cdr="http://schemas.openxmlformats.org/drawingml/2006/chartDrawing">
    <cdr:from>
      <cdr:x>0.6475</cdr:x>
      <cdr:y>0.49075</cdr:y>
    </cdr:from>
    <cdr:to>
      <cdr:x>0.987</cdr:x>
      <cdr:y>0.53725</cdr:y>
    </cdr:to>
    <cdr:sp>
      <cdr:nvSpPr>
        <cdr:cNvPr id="2" name="Text Box 2"/>
        <cdr:cNvSpPr txBox="1">
          <a:spLocks noChangeArrowheads="1"/>
        </cdr:cNvSpPr>
      </cdr:nvSpPr>
      <cdr:spPr>
        <a:xfrm>
          <a:off x="3771900" y="4267200"/>
          <a:ext cx="19812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) = Number of employees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 at 30/9/2011</a:t>
          </a:r>
        </a:p>
      </cdr:txBody>
    </cdr:sp>
  </cdr:relSizeAnchor>
  <cdr:relSizeAnchor xmlns:cdr="http://schemas.openxmlformats.org/drawingml/2006/chartDrawing">
    <cdr:from>
      <cdr:x>0.015</cdr:x>
      <cdr:y>0.0785</cdr:y>
    </cdr:from>
    <cdr:to>
      <cdr:x>0.984</cdr:x>
      <cdr:y>0.0785</cdr:y>
    </cdr:to>
    <cdr:sp>
      <cdr:nvSpPr>
        <cdr:cNvPr id="3" name="Line 5"/>
        <cdr:cNvSpPr>
          <a:spLocks/>
        </cdr:cNvSpPr>
      </cdr:nvSpPr>
      <cdr:spPr>
        <a:xfrm flipV="1">
          <a:off x="85725" y="676275"/>
          <a:ext cx="56578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47625</xdr:rowOff>
    </xdr:from>
    <xdr:to>
      <xdr:col>15</xdr:col>
      <xdr:colOff>0</xdr:colOff>
      <xdr:row>49</xdr:row>
      <xdr:rowOff>152400</xdr:rowOff>
    </xdr:to>
    <xdr:graphicFrame>
      <xdr:nvGraphicFramePr>
        <xdr:cNvPr id="1" name="Chart 1025"/>
        <xdr:cNvGraphicFramePr/>
      </xdr:nvGraphicFramePr>
      <xdr:xfrm>
        <a:off x="6048375" y="533400"/>
        <a:ext cx="5743575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110</xdr:row>
      <xdr:rowOff>19050</xdr:rowOff>
    </xdr:from>
    <xdr:to>
      <xdr:col>15</xdr:col>
      <xdr:colOff>0</xdr:colOff>
      <xdr:row>164</xdr:row>
      <xdr:rowOff>133350</xdr:rowOff>
    </xdr:to>
    <xdr:graphicFrame>
      <xdr:nvGraphicFramePr>
        <xdr:cNvPr id="2" name="Chart 1026"/>
        <xdr:cNvGraphicFramePr/>
      </xdr:nvGraphicFramePr>
      <xdr:xfrm>
        <a:off x="6286500" y="18164175"/>
        <a:ext cx="5505450" cy="9191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55</xdr:row>
      <xdr:rowOff>0</xdr:rowOff>
    </xdr:from>
    <xdr:to>
      <xdr:col>15</xdr:col>
      <xdr:colOff>95250</xdr:colOff>
      <xdr:row>106</xdr:row>
      <xdr:rowOff>104775</xdr:rowOff>
    </xdr:to>
    <xdr:graphicFrame>
      <xdr:nvGraphicFramePr>
        <xdr:cNvPr id="3" name="Chart 1027"/>
        <xdr:cNvGraphicFramePr/>
      </xdr:nvGraphicFramePr>
      <xdr:xfrm>
        <a:off x="6048375" y="8905875"/>
        <a:ext cx="5838825" cy="8696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0.07675</cdr:y>
    </cdr:from>
    <cdr:to>
      <cdr:x>0.981</cdr:x>
      <cdr:y>0.07725</cdr:y>
    </cdr:to>
    <cdr:sp>
      <cdr:nvSpPr>
        <cdr:cNvPr id="1" name="Line 1"/>
        <cdr:cNvSpPr>
          <a:spLocks/>
        </cdr:cNvSpPr>
      </cdr:nvSpPr>
      <cdr:spPr>
        <a:xfrm flipV="1">
          <a:off x="47625" y="571500"/>
          <a:ext cx="55816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-0.00325</cdr:x>
      <cdr:y>0</cdr:y>
    </cdr:from>
    <cdr:to>
      <cdr:x>1</cdr:x>
      <cdr:y>0.07725</cdr:y>
    </cdr:to>
    <cdr:sp>
      <cdr:nvSpPr>
        <cdr:cNvPr id="2" name="Text Box 2"/>
        <cdr:cNvSpPr txBox="1">
          <a:spLocks noChangeArrowheads="1"/>
        </cdr:cNvSpPr>
      </cdr:nvSpPr>
      <cdr:spPr>
        <a:xfrm>
          <a:off x="-9524" y="0"/>
          <a:ext cx="581025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Underground Coal Mines Jul-Dec 2011-12
</a:t>
          </a:r>
          <a:r>
            <a:rPr lang="en-US" cap="none" sz="10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Recordable Injury Frequency Rate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order of 2011-12 performance</a:t>
          </a:r>
        </a:p>
      </cdr:txBody>
    </cdr:sp>
  </cdr:relSizeAnchor>
  <cdr:relSizeAnchor xmlns:cdr="http://schemas.openxmlformats.org/drawingml/2006/chartDrawing">
    <cdr:from>
      <cdr:x>0.53775</cdr:x>
      <cdr:y>0.39275</cdr:y>
    </cdr:from>
    <cdr:to>
      <cdr:x>1</cdr:x>
      <cdr:y>0.4435</cdr:y>
    </cdr:to>
    <cdr:sp>
      <cdr:nvSpPr>
        <cdr:cNvPr id="3" name="Text Box 3"/>
        <cdr:cNvSpPr txBox="1">
          <a:spLocks noChangeArrowheads="1"/>
        </cdr:cNvSpPr>
      </cdr:nvSpPr>
      <cdr:spPr>
        <a:xfrm>
          <a:off x="3086100" y="2962275"/>
          <a:ext cx="27051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) = Number of employees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 at 31/12/2011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0.06675</cdr:y>
    </cdr:from>
    <cdr:to>
      <cdr:x>0.9825</cdr:x>
      <cdr:y>0.06725</cdr:y>
    </cdr:to>
    <cdr:sp>
      <cdr:nvSpPr>
        <cdr:cNvPr id="1" name="Line 1"/>
        <cdr:cNvSpPr>
          <a:spLocks/>
        </cdr:cNvSpPr>
      </cdr:nvSpPr>
      <cdr:spPr>
        <a:xfrm>
          <a:off x="0" y="609600"/>
          <a:ext cx="54102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0.4745</cdr:x>
      <cdr:y>0.5435</cdr:y>
    </cdr:from>
    <cdr:to>
      <cdr:x>1</cdr:x>
      <cdr:y>0.58125</cdr:y>
    </cdr:to>
    <cdr:sp>
      <cdr:nvSpPr>
        <cdr:cNvPr id="2" name="Text Box 2"/>
        <cdr:cNvSpPr txBox="1">
          <a:spLocks noChangeArrowheads="1"/>
        </cdr:cNvSpPr>
      </cdr:nvSpPr>
      <cdr:spPr>
        <a:xfrm>
          <a:off x="2609850" y="4991100"/>
          <a:ext cx="29432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) = Number of employees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 at 31/12/2011</a:t>
          </a:r>
        </a:p>
      </cdr:txBody>
    </cdr:sp>
  </cdr:relSizeAnchor>
  <cdr:relSizeAnchor xmlns:cdr="http://schemas.openxmlformats.org/drawingml/2006/chartDrawing">
    <cdr:from>
      <cdr:x>-0.00275</cdr:x>
      <cdr:y>0</cdr:y>
    </cdr:from>
    <cdr:to>
      <cdr:x>1</cdr:x>
      <cdr:y>0.06125</cdr:y>
    </cdr:to>
    <cdr:sp>
      <cdr:nvSpPr>
        <cdr:cNvPr id="3" name="Text Box 3"/>
        <cdr:cNvSpPr txBox="1">
          <a:spLocks noChangeArrowheads="1"/>
        </cdr:cNvSpPr>
      </cdr:nvSpPr>
      <cdr:spPr>
        <a:xfrm>
          <a:off x="-9524" y="0"/>
          <a:ext cx="55721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Underground Coal Mines Jul-Dec 2011-12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Lost Time Injury + Disabling Injury Duration Rate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order of 2011-12 performance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</cdr:y>
    </cdr:from>
    <cdr:to>
      <cdr:x>0.95875</cdr:x>
      <cdr:y>0.06575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560070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Underground Coal Mines Jul-Dec 2011-12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Lost Time Injury + Disabling Injury Severity Rate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order of 2011-12 performance</a:t>
          </a:r>
        </a:p>
      </cdr:txBody>
    </cdr:sp>
  </cdr:relSizeAnchor>
  <cdr:relSizeAnchor xmlns:cdr="http://schemas.openxmlformats.org/drawingml/2006/chartDrawing">
    <cdr:from>
      <cdr:x>0.6475</cdr:x>
      <cdr:y>0.49075</cdr:y>
    </cdr:from>
    <cdr:to>
      <cdr:x>0.987</cdr:x>
      <cdr:y>0.53725</cdr:y>
    </cdr:to>
    <cdr:sp>
      <cdr:nvSpPr>
        <cdr:cNvPr id="2" name="Text Box 2"/>
        <cdr:cNvSpPr txBox="1">
          <a:spLocks noChangeArrowheads="1"/>
        </cdr:cNvSpPr>
      </cdr:nvSpPr>
      <cdr:spPr>
        <a:xfrm>
          <a:off x="3771900" y="4267200"/>
          <a:ext cx="19812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) = Number of employees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 at 31/12/2011</a:t>
          </a:r>
        </a:p>
      </cdr:txBody>
    </cdr:sp>
  </cdr:relSizeAnchor>
  <cdr:relSizeAnchor xmlns:cdr="http://schemas.openxmlformats.org/drawingml/2006/chartDrawing">
    <cdr:from>
      <cdr:x>0.02275</cdr:x>
      <cdr:y>0.07325</cdr:y>
    </cdr:from>
    <cdr:to>
      <cdr:x>0.9715</cdr:x>
      <cdr:y>0.07325</cdr:y>
    </cdr:to>
    <cdr:sp>
      <cdr:nvSpPr>
        <cdr:cNvPr id="3" name="Line 3"/>
        <cdr:cNvSpPr>
          <a:spLocks/>
        </cdr:cNvSpPr>
      </cdr:nvSpPr>
      <cdr:spPr>
        <a:xfrm>
          <a:off x="123825" y="628650"/>
          <a:ext cx="55435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47625</xdr:rowOff>
    </xdr:from>
    <xdr:to>
      <xdr:col>15</xdr:col>
      <xdr:colOff>0</xdr:colOff>
      <xdr:row>49</xdr:row>
      <xdr:rowOff>152400</xdr:rowOff>
    </xdr:to>
    <xdr:graphicFrame>
      <xdr:nvGraphicFramePr>
        <xdr:cNvPr id="1" name="Chart 1"/>
        <xdr:cNvGraphicFramePr/>
      </xdr:nvGraphicFramePr>
      <xdr:xfrm>
        <a:off x="6048375" y="533400"/>
        <a:ext cx="5743575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110</xdr:row>
      <xdr:rowOff>19050</xdr:rowOff>
    </xdr:from>
    <xdr:to>
      <xdr:col>15</xdr:col>
      <xdr:colOff>0</xdr:colOff>
      <xdr:row>164</xdr:row>
      <xdr:rowOff>133350</xdr:rowOff>
    </xdr:to>
    <xdr:graphicFrame>
      <xdr:nvGraphicFramePr>
        <xdr:cNvPr id="2" name="Chart 2"/>
        <xdr:cNvGraphicFramePr/>
      </xdr:nvGraphicFramePr>
      <xdr:xfrm>
        <a:off x="6286500" y="18164175"/>
        <a:ext cx="5505450" cy="9191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55</xdr:row>
      <xdr:rowOff>0</xdr:rowOff>
    </xdr:from>
    <xdr:to>
      <xdr:col>15</xdr:col>
      <xdr:colOff>95250</xdr:colOff>
      <xdr:row>106</xdr:row>
      <xdr:rowOff>104775</xdr:rowOff>
    </xdr:to>
    <xdr:graphicFrame>
      <xdr:nvGraphicFramePr>
        <xdr:cNvPr id="3" name="Chart 3"/>
        <xdr:cNvGraphicFramePr/>
      </xdr:nvGraphicFramePr>
      <xdr:xfrm>
        <a:off x="6048375" y="8905875"/>
        <a:ext cx="5838825" cy="8696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0.07325</cdr:y>
    </cdr:from>
    <cdr:to>
      <cdr:x>0.98925</cdr:x>
      <cdr:y>0.07325</cdr:y>
    </cdr:to>
    <cdr:sp>
      <cdr:nvSpPr>
        <cdr:cNvPr id="1" name="Line 1"/>
        <cdr:cNvSpPr>
          <a:spLocks/>
        </cdr:cNvSpPr>
      </cdr:nvSpPr>
      <cdr:spPr>
        <a:xfrm flipV="1">
          <a:off x="28575" y="552450"/>
          <a:ext cx="56483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-0.00325</cdr:x>
      <cdr:y>0</cdr:y>
    </cdr:from>
    <cdr:to>
      <cdr:x>1</cdr:x>
      <cdr:y>0.0825</cdr:y>
    </cdr:to>
    <cdr:sp>
      <cdr:nvSpPr>
        <cdr:cNvPr id="2" name="Text Box 2"/>
        <cdr:cNvSpPr txBox="1">
          <a:spLocks noChangeArrowheads="1"/>
        </cdr:cNvSpPr>
      </cdr:nvSpPr>
      <cdr:spPr>
        <a:xfrm>
          <a:off x="-9524" y="0"/>
          <a:ext cx="58102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Underground Coal Mines Jul-Mar 2011-12
</a:t>
          </a:r>
          <a:r>
            <a:rPr lang="en-US" cap="none" sz="10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Recordable Injury Frequency Rate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order of 2011-12 performance</a:t>
          </a:r>
        </a:p>
      </cdr:txBody>
    </cdr:sp>
  </cdr:relSizeAnchor>
  <cdr:relSizeAnchor xmlns:cdr="http://schemas.openxmlformats.org/drawingml/2006/chartDrawing">
    <cdr:from>
      <cdr:x>0.53775</cdr:x>
      <cdr:y>0.4005</cdr:y>
    </cdr:from>
    <cdr:to>
      <cdr:x>1</cdr:x>
      <cdr:y>0.451</cdr:y>
    </cdr:to>
    <cdr:sp>
      <cdr:nvSpPr>
        <cdr:cNvPr id="3" name="Text Box 3"/>
        <cdr:cNvSpPr txBox="1">
          <a:spLocks noChangeArrowheads="1"/>
        </cdr:cNvSpPr>
      </cdr:nvSpPr>
      <cdr:spPr>
        <a:xfrm>
          <a:off x="3086100" y="3019425"/>
          <a:ext cx="27051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) = Number of employees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 at 31/3/2012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bank\groupdir\S&amp;H\Qual&amp;inf\STATOFFI\REPORTS\Ann97-98\FATAL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al1995-96"/>
      <sheetName val="COAL1996-97"/>
      <sheetName val="Coal++"/>
      <sheetName val="Metalliferous"/>
      <sheetName val="FATAL"/>
    </sheetNames>
    <sheetDataSet>
      <sheetData sheetId="4">
        <row r="1">
          <cell r="A1" t="str">
            <v>FATALITIES IN MINES</v>
          </cell>
        </row>
        <row r="4">
          <cell r="A4" t="str">
            <v>1971-72</v>
          </cell>
        </row>
        <row r="5">
          <cell r="A5" t="str">
            <v>1972-73</v>
          </cell>
        </row>
        <row r="6">
          <cell r="A6" t="str">
            <v>1973-74</v>
          </cell>
        </row>
        <row r="7">
          <cell r="A7" t="str">
            <v>1974-75</v>
          </cell>
        </row>
        <row r="10">
          <cell r="A10" t="str">
            <v>1975-76</v>
          </cell>
        </row>
        <row r="11">
          <cell r="A11" t="str">
            <v>1976-77</v>
          </cell>
        </row>
        <row r="12">
          <cell r="A12" t="str">
            <v>1977-78</v>
          </cell>
        </row>
        <row r="13">
          <cell r="A13" t="str">
            <v>1978-79</v>
          </cell>
        </row>
        <row r="14">
          <cell r="A14" t="str">
            <v>1979-80</v>
          </cell>
        </row>
        <row r="15">
          <cell r="A15" t="str">
            <v>1980-81</v>
          </cell>
        </row>
        <row r="16">
          <cell r="A16" t="str">
            <v>1981-82</v>
          </cell>
        </row>
        <row r="17">
          <cell r="A17" t="str">
            <v>1982-83</v>
          </cell>
        </row>
        <row r="18">
          <cell r="A18" t="str">
            <v>1983-84</v>
          </cell>
        </row>
        <row r="19">
          <cell r="A19" t="str">
            <v>1984-85</v>
          </cell>
        </row>
        <row r="20">
          <cell r="A20" t="str">
            <v>1985-86</v>
          </cell>
        </row>
        <row r="21">
          <cell r="A21" t="str">
            <v>1986-87</v>
          </cell>
        </row>
        <row r="22">
          <cell r="A22" t="str">
            <v>1987-88</v>
          </cell>
        </row>
        <row r="23">
          <cell r="A23" t="str">
            <v>1988-89</v>
          </cell>
        </row>
        <row r="24">
          <cell r="A24" t="str">
            <v>1989-90</v>
          </cell>
        </row>
        <row r="25">
          <cell r="A25" t="str">
            <v>1990-91</v>
          </cell>
        </row>
        <row r="26">
          <cell r="A26" t="str">
            <v>1991-92</v>
          </cell>
        </row>
        <row r="27">
          <cell r="A27" t="str">
            <v>1992-93</v>
          </cell>
        </row>
        <row r="28">
          <cell r="A28" t="str">
            <v>1993-94</v>
          </cell>
        </row>
        <row r="29">
          <cell r="A29" t="str">
            <v>1994-95</v>
          </cell>
        </row>
        <row r="30">
          <cell r="A30" t="str">
            <v>1995-96</v>
          </cell>
        </row>
        <row r="31">
          <cell r="A31" t="str">
            <v>1996-97</v>
          </cell>
        </row>
        <row r="37">
          <cell r="A37" t="str">
            <v>1975-76</v>
          </cell>
        </row>
        <row r="38">
          <cell r="A38" t="str">
            <v>1976-77</v>
          </cell>
        </row>
        <row r="39">
          <cell r="A39" t="str">
            <v>1977-78</v>
          </cell>
        </row>
        <row r="40">
          <cell r="A40" t="str">
            <v>1978-79</v>
          </cell>
        </row>
        <row r="41">
          <cell r="A41" t="str">
            <v>1979-80</v>
          </cell>
        </row>
        <row r="42">
          <cell r="A42" t="str">
            <v>1980-81</v>
          </cell>
        </row>
        <row r="43">
          <cell r="A43" t="str">
            <v>1981-82</v>
          </cell>
        </row>
        <row r="44">
          <cell r="A44" t="str">
            <v>1982-83</v>
          </cell>
        </row>
        <row r="45">
          <cell r="A45" t="str">
            <v>1983-84</v>
          </cell>
        </row>
        <row r="46">
          <cell r="A46" t="str">
            <v>1984-85</v>
          </cell>
        </row>
        <row r="47">
          <cell r="A47" t="str">
            <v>1985-86</v>
          </cell>
        </row>
        <row r="48">
          <cell r="A48" t="str">
            <v>1986-87</v>
          </cell>
        </row>
        <row r="49">
          <cell r="A49" t="str">
            <v>1987-88</v>
          </cell>
        </row>
        <row r="50">
          <cell r="A50" t="str">
            <v>1988-89</v>
          </cell>
        </row>
        <row r="51">
          <cell r="A51" t="str">
            <v>1989-90</v>
          </cell>
        </row>
        <row r="52">
          <cell r="A52" t="str">
            <v>1990-91</v>
          </cell>
        </row>
        <row r="53">
          <cell r="A53" t="str">
            <v>1991-92</v>
          </cell>
        </row>
        <row r="54">
          <cell r="A54" t="str">
            <v>1992-93</v>
          </cell>
        </row>
        <row r="55">
          <cell r="A55" t="str">
            <v>1993-94</v>
          </cell>
        </row>
        <row r="56">
          <cell r="A56" t="str">
            <v>1994-95</v>
          </cell>
        </row>
        <row r="57">
          <cell r="A57" t="str">
            <v>1995-96</v>
          </cell>
        </row>
        <row r="58">
          <cell r="A58" t="str">
            <v>1996-97</v>
          </cell>
        </row>
        <row r="62">
          <cell r="A62" t="str">
            <v>1975-76</v>
          </cell>
        </row>
        <row r="63">
          <cell r="A63" t="str">
            <v>1976-77</v>
          </cell>
        </row>
        <row r="64">
          <cell r="A64" t="str">
            <v>1977-78</v>
          </cell>
        </row>
        <row r="65">
          <cell r="A65" t="str">
            <v>1978-79</v>
          </cell>
        </row>
        <row r="66">
          <cell r="A66" t="str">
            <v>1979-80</v>
          </cell>
        </row>
        <row r="67">
          <cell r="A67" t="str">
            <v>1980-81</v>
          </cell>
        </row>
        <row r="68">
          <cell r="A68" t="str">
            <v>1981-82</v>
          </cell>
        </row>
        <row r="69">
          <cell r="A69" t="str">
            <v>1982-83</v>
          </cell>
        </row>
        <row r="70">
          <cell r="A70" t="str">
            <v>1983-84</v>
          </cell>
        </row>
        <row r="71">
          <cell r="A71" t="str">
            <v>1984-85</v>
          </cell>
        </row>
        <row r="72">
          <cell r="A72" t="str">
            <v>1985-86</v>
          </cell>
        </row>
        <row r="73">
          <cell r="A73" t="str">
            <v>1986-87</v>
          </cell>
        </row>
        <row r="74">
          <cell r="A74" t="str">
            <v>1987-88</v>
          </cell>
        </row>
        <row r="75">
          <cell r="A75" t="str">
            <v>1988-89</v>
          </cell>
        </row>
        <row r="76">
          <cell r="A76" t="str">
            <v>1989-90</v>
          </cell>
        </row>
        <row r="77">
          <cell r="A77" t="str">
            <v>1990-91</v>
          </cell>
        </row>
        <row r="78">
          <cell r="A78" t="str">
            <v>1991-92</v>
          </cell>
        </row>
        <row r="79">
          <cell r="A79" t="str">
            <v>1992-93</v>
          </cell>
        </row>
        <row r="80">
          <cell r="A80" t="str">
            <v>1993-94</v>
          </cell>
        </row>
        <row r="81">
          <cell r="A81" t="str">
            <v>1994-95</v>
          </cell>
        </row>
        <row r="82">
          <cell r="A82" t="str">
            <v>1995-96</v>
          </cell>
        </row>
        <row r="83">
          <cell r="A83" t="str">
            <v>1996-97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199"/>
  <sheetViews>
    <sheetView zoomScalePageLayoutView="0" workbookViewId="0" topLeftCell="C1">
      <pane xSplit="1" ySplit="4" topLeftCell="E5" activePane="bottomRight" state="frozen"/>
      <selection pane="topLeft" activeCell="C1" sqref="C1"/>
      <selection pane="topRight" activeCell="E1" sqref="E1"/>
      <selection pane="bottomLeft" activeCell="C5" sqref="C5"/>
      <selection pane="bottomRight" activeCell="F13" sqref="F13"/>
    </sheetView>
  </sheetViews>
  <sheetFormatPr defaultColWidth="9.140625" defaultRowHeight="17.25" customHeight="1"/>
  <cols>
    <col min="1" max="1" width="24.7109375" style="0" customWidth="1"/>
    <col min="2" max="2" width="20.140625" style="0" customWidth="1"/>
    <col min="3" max="3" width="43.00390625" style="0" customWidth="1"/>
    <col min="4" max="5" width="8.57421875" style="9" customWidth="1"/>
    <col min="6" max="6" width="10.7109375" style="90" customWidth="1"/>
    <col min="7" max="7" width="10.7109375" style="9" customWidth="1"/>
    <col min="8" max="14" width="8.57421875" style="9" customWidth="1"/>
    <col min="15" max="18" width="10.421875" style="9" customWidth="1"/>
    <col min="19" max="19" width="10.421875" style="52" customWidth="1"/>
    <col min="21" max="21" width="9.8515625" style="0" customWidth="1"/>
    <col min="25" max="25" width="17.8515625" style="0" customWidth="1"/>
  </cols>
  <sheetData>
    <row r="1" ht="11.25" customHeight="1"/>
    <row r="2" spans="3:19" ht="14.25" customHeight="1">
      <c r="C2" s="39" t="s">
        <v>68</v>
      </c>
      <c r="D2" s="53"/>
      <c r="E2" s="53"/>
      <c r="F2" s="91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3:21" ht="12.75">
      <c r="C3" s="54" t="s">
        <v>29</v>
      </c>
      <c r="D3" s="53"/>
      <c r="E3" s="53"/>
      <c r="F3" s="91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3"/>
      <c r="U3" s="3"/>
    </row>
    <row r="4" spans="2:35" ht="43.5" customHeight="1">
      <c r="B4" t="s">
        <v>30</v>
      </c>
      <c r="C4" s="55" t="s">
        <v>0</v>
      </c>
      <c r="D4" s="56" t="s">
        <v>11</v>
      </c>
      <c r="E4" s="57" t="s">
        <v>31</v>
      </c>
      <c r="F4" s="92" t="s">
        <v>23</v>
      </c>
      <c r="G4" s="57" t="s">
        <v>70</v>
      </c>
      <c r="H4" s="56" t="s">
        <v>18</v>
      </c>
      <c r="I4" s="56" t="s">
        <v>17</v>
      </c>
      <c r="J4" s="57" t="s">
        <v>32</v>
      </c>
      <c r="K4" s="57" t="s">
        <v>33</v>
      </c>
      <c r="L4" s="56" t="s">
        <v>19</v>
      </c>
      <c r="M4" s="58" t="s">
        <v>34</v>
      </c>
      <c r="N4" s="59" t="s">
        <v>15</v>
      </c>
      <c r="O4" s="59" t="s">
        <v>20</v>
      </c>
      <c r="P4" s="59" t="s">
        <v>16</v>
      </c>
      <c r="Q4" s="58" t="s">
        <v>26</v>
      </c>
      <c r="R4" s="58" t="s">
        <v>21</v>
      </c>
      <c r="S4" s="60" t="s">
        <v>22</v>
      </c>
      <c r="T4" s="61"/>
      <c r="U4" s="61"/>
      <c r="V4" s="62"/>
      <c r="W4" s="62"/>
      <c r="X4" s="62"/>
      <c r="Y4" s="63"/>
      <c r="Z4" s="63"/>
      <c r="AI4" s="64"/>
    </row>
    <row r="5" spans="3:35" ht="12.75" customHeight="1">
      <c r="C5" s="65"/>
      <c r="D5" s="66"/>
      <c r="E5" s="61"/>
      <c r="F5" s="93"/>
      <c r="G5" s="61"/>
      <c r="H5" s="66"/>
      <c r="I5" s="66"/>
      <c r="J5" s="61"/>
      <c r="K5" s="61"/>
      <c r="L5" s="66"/>
      <c r="M5" s="67"/>
      <c r="N5" s="67"/>
      <c r="O5" s="67"/>
      <c r="P5" s="67"/>
      <c r="Q5" s="68"/>
      <c r="R5" s="68"/>
      <c r="S5" s="69"/>
      <c r="T5" s="61"/>
      <c r="U5" s="61"/>
      <c r="V5" s="62"/>
      <c r="W5" s="62"/>
      <c r="X5" s="62"/>
      <c r="Y5" s="63"/>
      <c r="Z5" s="63"/>
      <c r="AI5" s="3"/>
    </row>
    <row r="6" spans="1:29" ht="12.75">
      <c r="A6" s="70" t="s">
        <v>35</v>
      </c>
      <c r="B6" s="71" t="s">
        <v>36</v>
      </c>
      <c r="C6" t="s">
        <v>13</v>
      </c>
      <c r="D6" s="41">
        <v>0</v>
      </c>
      <c r="E6" s="41">
        <v>0</v>
      </c>
      <c r="F6" s="94">
        <v>0.011238</v>
      </c>
      <c r="G6" s="41">
        <v>105</v>
      </c>
      <c r="H6" s="41">
        <v>0</v>
      </c>
      <c r="I6" s="41">
        <v>1</v>
      </c>
      <c r="J6" s="41">
        <v>13</v>
      </c>
      <c r="K6" s="41">
        <v>0</v>
      </c>
      <c r="L6" s="73">
        <v>0</v>
      </c>
      <c r="M6" s="74">
        <f aca="true" t="shared" si="0" ref="M6:M19">E6+K6</f>
        <v>0</v>
      </c>
      <c r="N6" s="75">
        <f aca="true" t="shared" si="1" ref="N6:N19">D6+I6+H6</f>
        <v>1</v>
      </c>
      <c r="O6" s="75">
        <f>IF(F6="",0,D6/F6)</f>
        <v>0</v>
      </c>
      <c r="P6" s="75">
        <f>IF(F6="",0,N6/F6)</f>
        <v>88.98380494749956</v>
      </c>
      <c r="Q6" s="75">
        <f>IF(F6="",0,(D6+I6)/F6)</f>
        <v>88.98380494749956</v>
      </c>
      <c r="R6" s="75">
        <f>IF(F6="",0,(M6+J6)/F6)</f>
        <v>1156.7894643174943</v>
      </c>
      <c r="S6" s="75">
        <f>IF((D6+I6)=0,0,(M6+J6)/(D6+I6))</f>
        <v>13</v>
      </c>
      <c r="T6" s="25"/>
      <c r="U6" s="76"/>
      <c r="V6" s="77"/>
      <c r="W6" s="29"/>
      <c r="X6" s="16"/>
      <c r="Z6" s="4"/>
      <c r="AA6" s="13"/>
      <c r="AB6" s="13"/>
      <c r="AC6" s="13"/>
    </row>
    <row r="7" spans="1:29" ht="12.75">
      <c r="A7" s="70" t="s">
        <v>37</v>
      </c>
      <c r="B7" s="71" t="s">
        <v>38</v>
      </c>
      <c r="C7" t="s">
        <v>24</v>
      </c>
      <c r="D7" s="41">
        <v>4</v>
      </c>
      <c r="E7" s="41">
        <v>128</v>
      </c>
      <c r="F7" s="94">
        <v>0.490062</v>
      </c>
      <c r="G7" s="41">
        <v>565</v>
      </c>
      <c r="H7" s="41">
        <v>1</v>
      </c>
      <c r="I7" s="41">
        <v>7</v>
      </c>
      <c r="J7" s="41">
        <v>196</v>
      </c>
      <c r="K7" s="41">
        <v>98</v>
      </c>
      <c r="L7" s="73">
        <v>0</v>
      </c>
      <c r="M7" s="74">
        <f t="shared" si="0"/>
        <v>226</v>
      </c>
      <c r="N7" s="75">
        <f t="shared" si="1"/>
        <v>12</v>
      </c>
      <c r="O7" s="75">
        <f aca="true" t="shared" si="2" ref="O7:O19">IF(F7="",0,D7/F7)</f>
        <v>8.162232533842657</v>
      </c>
      <c r="P7" s="75">
        <f aca="true" t="shared" si="3" ref="P7:P19">IF(F7="",0,N7/F7)</f>
        <v>24.486697601527972</v>
      </c>
      <c r="Q7" s="75">
        <f aca="true" t="shared" si="4" ref="Q7:Q19">IF(F7="",0,(D7+I7)/F7)</f>
        <v>22.446139468067305</v>
      </c>
      <c r="R7" s="75">
        <f aca="true" t="shared" si="5" ref="R7:R19">IF(F7="",0,(M7+J7)/F7)</f>
        <v>861.1155323204002</v>
      </c>
      <c r="S7" s="75">
        <f aca="true" t="shared" si="6" ref="S7:S19">IF((D7+I7)=0,0,(M7+J7)/(D7+I7))</f>
        <v>38.36363636363637</v>
      </c>
      <c r="T7" s="25"/>
      <c r="U7" s="76"/>
      <c r="V7" s="77"/>
      <c r="W7" s="29"/>
      <c r="X7" s="16"/>
      <c r="Z7" s="4"/>
      <c r="AA7" s="13"/>
      <c r="AB7" s="13"/>
      <c r="AC7" s="13"/>
    </row>
    <row r="8" spans="1:29" ht="12.75">
      <c r="A8" s="70" t="s">
        <v>39</v>
      </c>
      <c r="B8" s="71" t="s">
        <v>40</v>
      </c>
      <c r="C8" t="s">
        <v>14</v>
      </c>
      <c r="D8" s="41">
        <v>0</v>
      </c>
      <c r="E8" s="41">
        <v>0</v>
      </c>
      <c r="F8" s="94">
        <v>0.006037</v>
      </c>
      <c r="G8" s="41">
        <v>22</v>
      </c>
      <c r="H8" s="41">
        <v>0</v>
      </c>
      <c r="I8" s="41">
        <v>0</v>
      </c>
      <c r="J8" s="41">
        <v>0</v>
      </c>
      <c r="K8" s="41">
        <v>0</v>
      </c>
      <c r="L8" s="73">
        <v>0</v>
      </c>
      <c r="M8" s="74">
        <f t="shared" si="0"/>
        <v>0</v>
      </c>
      <c r="N8" s="75">
        <f t="shared" si="1"/>
        <v>0</v>
      </c>
      <c r="O8" s="75">
        <f t="shared" si="2"/>
        <v>0</v>
      </c>
      <c r="P8" s="75">
        <f t="shared" si="3"/>
        <v>0</v>
      </c>
      <c r="Q8" s="75">
        <f t="shared" si="4"/>
        <v>0</v>
      </c>
      <c r="R8" s="75">
        <f t="shared" si="5"/>
        <v>0</v>
      </c>
      <c r="S8" s="75">
        <f t="shared" si="6"/>
        <v>0</v>
      </c>
      <c r="T8" s="25"/>
      <c r="U8" s="76"/>
      <c r="V8" s="77"/>
      <c r="W8" s="29"/>
      <c r="X8" s="16"/>
      <c r="Z8" s="4"/>
      <c r="AA8" s="13"/>
      <c r="AB8" s="13"/>
      <c r="AC8" s="13"/>
    </row>
    <row r="9" spans="1:29" ht="12.75">
      <c r="A9" s="70" t="s">
        <v>41</v>
      </c>
      <c r="B9" s="71" t="s">
        <v>42</v>
      </c>
      <c r="C9" t="s">
        <v>28</v>
      </c>
      <c r="D9" s="41">
        <v>2</v>
      </c>
      <c r="E9" s="41">
        <v>33</v>
      </c>
      <c r="F9" s="94">
        <f>0.239756+0.03805</f>
        <v>0.277806</v>
      </c>
      <c r="G9" s="41">
        <v>428</v>
      </c>
      <c r="H9" s="41">
        <v>0</v>
      </c>
      <c r="I9" s="41">
        <v>14</v>
      </c>
      <c r="J9" s="41">
        <v>101</v>
      </c>
      <c r="K9" s="41">
        <v>16</v>
      </c>
      <c r="L9" s="73">
        <v>0</v>
      </c>
      <c r="M9" s="74">
        <f t="shared" si="0"/>
        <v>49</v>
      </c>
      <c r="N9" s="75">
        <f t="shared" si="1"/>
        <v>16</v>
      </c>
      <c r="O9" s="75">
        <f t="shared" si="2"/>
        <v>7.199268554314882</v>
      </c>
      <c r="P9" s="75">
        <f t="shared" si="3"/>
        <v>57.594148434519056</v>
      </c>
      <c r="Q9" s="75">
        <f t="shared" si="4"/>
        <v>57.594148434519056</v>
      </c>
      <c r="R9" s="75">
        <f t="shared" si="5"/>
        <v>539.9451415736161</v>
      </c>
      <c r="S9" s="75">
        <f t="shared" si="6"/>
        <v>9.375</v>
      </c>
      <c r="T9" s="25"/>
      <c r="U9" s="76"/>
      <c r="V9" s="77"/>
      <c r="W9" s="29"/>
      <c r="X9" s="25"/>
      <c r="Y9" s="16"/>
      <c r="Z9" s="4"/>
      <c r="AA9" s="13"/>
      <c r="AB9" s="13"/>
      <c r="AC9" s="13"/>
    </row>
    <row r="10" spans="1:29" ht="12.75">
      <c r="A10" s="78" t="s">
        <v>44</v>
      </c>
      <c r="B10" s="71" t="s">
        <v>43</v>
      </c>
      <c r="C10" t="s">
        <v>1</v>
      </c>
      <c r="D10" s="41">
        <v>2</v>
      </c>
      <c r="E10" s="41">
        <v>19</v>
      </c>
      <c r="F10" s="94">
        <v>0.125639</v>
      </c>
      <c r="G10" s="41">
        <v>255</v>
      </c>
      <c r="H10" s="41">
        <v>18</v>
      </c>
      <c r="I10" s="41">
        <v>0</v>
      </c>
      <c r="J10" s="41">
        <v>0</v>
      </c>
      <c r="K10" s="41">
        <v>0</v>
      </c>
      <c r="L10" s="73">
        <v>2</v>
      </c>
      <c r="M10" s="74">
        <f t="shared" si="0"/>
        <v>19</v>
      </c>
      <c r="N10" s="75">
        <f t="shared" si="1"/>
        <v>20</v>
      </c>
      <c r="O10" s="75">
        <f t="shared" si="2"/>
        <v>15.918623994141946</v>
      </c>
      <c r="P10" s="75">
        <f t="shared" si="3"/>
        <v>159.18623994141947</v>
      </c>
      <c r="Q10" s="75">
        <f t="shared" si="4"/>
        <v>15.918623994141946</v>
      </c>
      <c r="R10" s="75">
        <f t="shared" si="5"/>
        <v>151.2269279443485</v>
      </c>
      <c r="S10" s="75">
        <f t="shared" si="6"/>
        <v>9.5</v>
      </c>
      <c r="T10" s="25"/>
      <c r="U10" s="76"/>
      <c r="V10" s="77"/>
      <c r="W10" s="29"/>
      <c r="X10" s="16"/>
      <c r="Z10" s="4"/>
      <c r="AA10" s="13"/>
      <c r="AB10" s="13"/>
      <c r="AC10" s="13"/>
    </row>
    <row r="11" spans="1:29" ht="12.75">
      <c r="A11" s="79" t="s">
        <v>46</v>
      </c>
      <c r="B11" s="24" t="s">
        <v>45</v>
      </c>
      <c r="C11" t="s">
        <v>2</v>
      </c>
      <c r="D11" s="41">
        <v>4</v>
      </c>
      <c r="E11" s="41">
        <v>72</v>
      </c>
      <c r="F11" s="94">
        <v>0.281405</v>
      </c>
      <c r="G11" s="41">
        <v>158</v>
      </c>
      <c r="H11" s="41">
        <v>3</v>
      </c>
      <c r="I11" s="41">
        <v>2</v>
      </c>
      <c r="J11" s="41">
        <v>14</v>
      </c>
      <c r="K11" s="41">
        <v>35</v>
      </c>
      <c r="L11" s="73">
        <v>0</v>
      </c>
      <c r="M11" s="74">
        <f t="shared" si="0"/>
        <v>107</v>
      </c>
      <c r="N11" s="75">
        <f t="shared" si="1"/>
        <v>9</v>
      </c>
      <c r="O11" s="75">
        <f t="shared" si="2"/>
        <v>14.214388514774079</v>
      </c>
      <c r="P11" s="75">
        <f t="shared" si="3"/>
        <v>31.98237415824168</v>
      </c>
      <c r="Q11" s="75">
        <f t="shared" si="4"/>
        <v>21.32158277216112</v>
      </c>
      <c r="R11" s="75">
        <f t="shared" si="5"/>
        <v>429.9852525719159</v>
      </c>
      <c r="S11" s="75">
        <f t="shared" si="6"/>
        <v>20.166666666666668</v>
      </c>
      <c r="T11" s="25"/>
      <c r="U11" s="76"/>
      <c r="V11" s="77"/>
      <c r="W11" s="25"/>
      <c r="Z11" s="4"/>
      <c r="AA11" s="13"/>
      <c r="AB11" s="13"/>
      <c r="AC11" s="13"/>
    </row>
    <row r="12" spans="1:29" ht="12.75">
      <c r="A12" s="79"/>
      <c r="B12" s="24"/>
      <c r="C12" t="s">
        <v>9</v>
      </c>
      <c r="D12" s="41">
        <v>4</v>
      </c>
      <c r="E12" s="41">
        <v>0</v>
      </c>
      <c r="F12" s="94">
        <v>0.143073</v>
      </c>
      <c r="G12" s="41">
        <v>669</v>
      </c>
      <c r="H12" s="41">
        <v>5</v>
      </c>
      <c r="I12" s="41">
        <v>1</v>
      </c>
      <c r="J12" s="41">
        <v>0</v>
      </c>
      <c r="K12" s="41">
        <v>25</v>
      </c>
      <c r="L12" s="73">
        <v>1</v>
      </c>
      <c r="M12" s="74">
        <f t="shared" si="0"/>
        <v>25</v>
      </c>
      <c r="N12" s="75">
        <f t="shared" si="1"/>
        <v>10</v>
      </c>
      <c r="O12" s="75">
        <f t="shared" si="2"/>
        <v>27.957755830939448</v>
      </c>
      <c r="P12" s="75">
        <f t="shared" si="3"/>
        <v>69.89438957734862</v>
      </c>
      <c r="Q12" s="75">
        <f t="shared" si="4"/>
        <v>34.94719478867431</v>
      </c>
      <c r="R12" s="75">
        <f t="shared" si="5"/>
        <v>174.73597394337156</v>
      </c>
      <c r="S12" s="75">
        <f t="shared" si="6"/>
        <v>5</v>
      </c>
      <c r="T12" s="25"/>
      <c r="U12" s="76"/>
      <c r="V12" s="77"/>
      <c r="W12" s="25"/>
      <c r="Z12" s="4"/>
      <c r="AA12" s="13"/>
      <c r="AB12" s="13"/>
      <c r="AC12" s="13"/>
    </row>
    <row r="13" spans="1:29" ht="14.25" customHeight="1">
      <c r="A13" s="78" t="s">
        <v>47</v>
      </c>
      <c r="B13" s="71"/>
      <c r="C13" t="s">
        <v>8</v>
      </c>
      <c r="D13" s="41">
        <v>1</v>
      </c>
      <c r="E13" s="41">
        <v>0</v>
      </c>
      <c r="F13" s="94">
        <v>0.290216</v>
      </c>
      <c r="G13" s="41">
        <v>598</v>
      </c>
      <c r="H13" s="41">
        <v>0</v>
      </c>
      <c r="I13" s="41">
        <v>0</v>
      </c>
      <c r="J13" s="41">
        <v>0</v>
      </c>
      <c r="K13" s="41">
        <v>0</v>
      </c>
      <c r="L13" s="73">
        <v>6</v>
      </c>
      <c r="M13" s="74">
        <f t="shared" si="0"/>
        <v>0</v>
      </c>
      <c r="N13" s="75">
        <f t="shared" si="1"/>
        <v>1</v>
      </c>
      <c r="O13" s="75">
        <f t="shared" si="2"/>
        <v>3.4457094026518185</v>
      </c>
      <c r="P13" s="75">
        <f t="shared" si="3"/>
        <v>3.4457094026518185</v>
      </c>
      <c r="Q13" s="75">
        <f t="shared" si="4"/>
        <v>3.4457094026518185</v>
      </c>
      <c r="R13" s="75">
        <f t="shared" si="5"/>
        <v>0</v>
      </c>
      <c r="S13" s="75">
        <f t="shared" si="6"/>
        <v>0</v>
      </c>
      <c r="T13" s="25"/>
      <c r="U13" s="76"/>
      <c r="V13" s="77"/>
      <c r="W13" s="29"/>
      <c r="X13" s="16"/>
      <c r="Z13" s="4"/>
      <c r="AA13" s="13"/>
      <c r="AB13" s="13"/>
      <c r="AC13" s="13"/>
    </row>
    <row r="14" spans="1:29" ht="12.75">
      <c r="A14" s="70" t="s">
        <v>48</v>
      </c>
      <c r="B14" s="71" t="s">
        <v>49</v>
      </c>
      <c r="C14" t="s">
        <v>25</v>
      </c>
      <c r="D14" s="41">
        <v>0</v>
      </c>
      <c r="E14" s="41">
        <v>0</v>
      </c>
      <c r="F14" s="94">
        <v>0.276807</v>
      </c>
      <c r="G14" s="41">
        <v>554</v>
      </c>
      <c r="H14" s="41">
        <v>1</v>
      </c>
      <c r="I14" s="41">
        <v>0</v>
      </c>
      <c r="J14" s="41">
        <v>0</v>
      </c>
      <c r="K14" s="41">
        <v>0</v>
      </c>
      <c r="L14" s="73">
        <v>1</v>
      </c>
      <c r="M14" s="74">
        <f t="shared" si="0"/>
        <v>0</v>
      </c>
      <c r="N14" s="75">
        <f t="shared" si="1"/>
        <v>1</v>
      </c>
      <c r="O14" s="75">
        <f t="shared" si="2"/>
        <v>0</v>
      </c>
      <c r="P14" s="75">
        <f t="shared" si="3"/>
        <v>3.6126254032593104</v>
      </c>
      <c r="Q14" s="75">
        <f t="shared" si="4"/>
        <v>0</v>
      </c>
      <c r="R14" s="75">
        <f t="shared" si="5"/>
        <v>0</v>
      </c>
      <c r="S14" s="75">
        <f t="shared" si="6"/>
        <v>0</v>
      </c>
      <c r="T14" s="25"/>
      <c r="U14" s="76"/>
      <c r="V14" s="77"/>
      <c r="W14" s="29"/>
      <c r="X14" s="16"/>
      <c r="Z14" s="4"/>
      <c r="AA14" s="13"/>
      <c r="AB14" s="13"/>
      <c r="AC14" s="13"/>
    </row>
    <row r="15" spans="1:29" ht="12.75">
      <c r="A15" s="70" t="s">
        <v>50</v>
      </c>
      <c r="B15" s="71" t="s">
        <v>51</v>
      </c>
      <c r="C15" t="s">
        <v>3</v>
      </c>
      <c r="D15" s="41">
        <v>7</v>
      </c>
      <c r="E15" s="41">
        <v>81</v>
      </c>
      <c r="F15" s="94">
        <v>0.51148</v>
      </c>
      <c r="G15" s="41">
        <v>992</v>
      </c>
      <c r="H15" s="41">
        <v>51</v>
      </c>
      <c r="I15" s="41">
        <v>16</v>
      </c>
      <c r="J15" s="41">
        <v>204</v>
      </c>
      <c r="K15" s="41">
        <v>43</v>
      </c>
      <c r="L15" s="73">
        <v>0</v>
      </c>
      <c r="M15" s="74">
        <f t="shared" si="0"/>
        <v>124</v>
      </c>
      <c r="N15" s="75">
        <f t="shared" si="1"/>
        <v>74</v>
      </c>
      <c r="O15" s="75">
        <f t="shared" si="2"/>
        <v>13.685774614843199</v>
      </c>
      <c r="P15" s="75">
        <f t="shared" si="3"/>
        <v>144.67818878548525</v>
      </c>
      <c r="Q15" s="75">
        <f t="shared" si="4"/>
        <v>44.96754516305622</v>
      </c>
      <c r="R15" s="75">
        <f t="shared" si="5"/>
        <v>641.2762962383671</v>
      </c>
      <c r="S15" s="75">
        <f t="shared" si="6"/>
        <v>14.26086956521739</v>
      </c>
      <c r="T15" s="25"/>
      <c r="U15" s="76"/>
      <c r="V15" s="77"/>
      <c r="W15" s="29"/>
      <c r="X15" s="16"/>
      <c r="Z15" s="4"/>
      <c r="AA15" s="13"/>
      <c r="AB15" s="13"/>
      <c r="AC15" s="13"/>
    </row>
    <row r="16" spans="1:29" ht="12.75">
      <c r="A16" s="70" t="s">
        <v>52</v>
      </c>
      <c r="B16" s="71" t="s">
        <v>53</v>
      </c>
      <c r="C16" t="s">
        <v>12</v>
      </c>
      <c r="D16" s="41">
        <v>1</v>
      </c>
      <c r="E16" s="41">
        <v>9</v>
      </c>
      <c r="F16" s="94">
        <v>0.232402</v>
      </c>
      <c r="G16" s="41">
        <v>364</v>
      </c>
      <c r="H16" s="41">
        <v>1</v>
      </c>
      <c r="I16" s="80">
        <v>2</v>
      </c>
      <c r="J16" s="41">
        <v>37</v>
      </c>
      <c r="K16" s="41">
        <v>40</v>
      </c>
      <c r="L16" s="73">
        <v>1</v>
      </c>
      <c r="M16" s="74">
        <f t="shared" si="0"/>
        <v>49</v>
      </c>
      <c r="N16" s="75">
        <f t="shared" si="1"/>
        <v>4</v>
      </c>
      <c r="O16" s="75">
        <f t="shared" si="2"/>
        <v>4.3028889596475075</v>
      </c>
      <c r="P16" s="75">
        <f t="shared" si="3"/>
        <v>17.21155583859003</v>
      </c>
      <c r="Q16" s="75">
        <f t="shared" si="4"/>
        <v>12.908666878942523</v>
      </c>
      <c r="R16" s="75">
        <f t="shared" si="5"/>
        <v>370.0484505296856</v>
      </c>
      <c r="S16" s="75">
        <f t="shared" si="6"/>
        <v>28.666666666666668</v>
      </c>
      <c r="T16" s="25"/>
      <c r="U16" s="76"/>
      <c r="V16" s="77"/>
      <c r="W16" s="29"/>
      <c r="X16" s="16"/>
      <c r="Z16" s="4"/>
      <c r="AA16" s="13"/>
      <c r="AB16" s="13"/>
      <c r="AC16" s="13"/>
    </row>
    <row r="17" spans="1:29" ht="12.75">
      <c r="A17" s="70" t="s">
        <v>54</v>
      </c>
      <c r="B17" s="71" t="s">
        <v>55</v>
      </c>
      <c r="C17" t="s">
        <v>4</v>
      </c>
      <c r="D17" s="41">
        <v>1</v>
      </c>
      <c r="E17" s="41">
        <v>0</v>
      </c>
      <c r="F17" s="94">
        <v>0.264692</v>
      </c>
      <c r="G17" s="41">
        <v>620</v>
      </c>
      <c r="H17" s="41">
        <v>0</v>
      </c>
      <c r="I17" s="41">
        <v>4</v>
      </c>
      <c r="J17" s="41">
        <v>25</v>
      </c>
      <c r="K17" s="41">
        <v>0</v>
      </c>
      <c r="L17" s="73">
        <v>0</v>
      </c>
      <c r="M17" s="74">
        <f t="shared" si="0"/>
        <v>0</v>
      </c>
      <c r="N17" s="75">
        <f t="shared" si="1"/>
        <v>5</v>
      </c>
      <c r="O17" s="75">
        <f t="shared" si="2"/>
        <v>3.7779759116255875</v>
      </c>
      <c r="P17" s="75">
        <f t="shared" si="3"/>
        <v>18.889879558127937</v>
      </c>
      <c r="Q17" s="75">
        <f t="shared" si="4"/>
        <v>18.889879558127937</v>
      </c>
      <c r="R17" s="75">
        <f t="shared" si="5"/>
        <v>94.4493977906397</v>
      </c>
      <c r="S17" s="75">
        <f t="shared" si="6"/>
        <v>5</v>
      </c>
      <c r="T17" s="25"/>
      <c r="U17" s="76"/>
      <c r="V17" s="77"/>
      <c r="W17" s="29"/>
      <c r="X17" s="16"/>
      <c r="Z17" s="4"/>
      <c r="AA17" s="13"/>
      <c r="AB17" s="13"/>
      <c r="AC17" s="13"/>
    </row>
    <row r="18" spans="1:29" ht="12.75">
      <c r="A18" s="70" t="s">
        <v>56</v>
      </c>
      <c r="B18" s="71" t="s">
        <v>57</v>
      </c>
      <c r="C18" t="s">
        <v>5</v>
      </c>
      <c r="D18" s="41">
        <v>1</v>
      </c>
      <c r="E18" s="41">
        <v>2</v>
      </c>
      <c r="F18" s="94">
        <v>0.23885</v>
      </c>
      <c r="G18" s="41">
        <v>555</v>
      </c>
      <c r="H18" s="41">
        <v>3</v>
      </c>
      <c r="I18" s="41">
        <v>1</v>
      </c>
      <c r="J18" s="41">
        <v>3</v>
      </c>
      <c r="K18" s="41">
        <v>0</v>
      </c>
      <c r="L18" s="73">
        <v>0</v>
      </c>
      <c r="M18" s="74">
        <f t="shared" si="0"/>
        <v>2</v>
      </c>
      <c r="N18" s="75">
        <f t="shared" si="1"/>
        <v>5</v>
      </c>
      <c r="O18" s="75">
        <f t="shared" si="2"/>
        <v>4.186728072011722</v>
      </c>
      <c r="P18" s="75">
        <f t="shared" si="3"/>
        <v>20.933640360058615</v>
      </c>
      <c r="Q18" s="75">
        <f t="shared" si="4"/>
        <v>8.373456144023445</v>
      </c>
      <c r="R18" s="75">
        <f t="shared" si="5"/>
        <v>20.933640360058615</v>
      </c>
      <c r="S18" s="75">
        <f t="shared" si="6"/>
        <v>2.5</v>
      </c>
      <c r="T18" s="25"/>
      <c r="U18" s="76"/>
      <c r="V18" s="77"/>
      <c r="W18" s="29"/>
      <c r="X18" s="16"/>
      <c r="Z18" s="4"/>
      <c r="AA18" s="13"/>
      <c r="AB18" s="13"/>
      <c r="AC18" s="13"/>
    </row>
    <row r="19" spans="1:29" ht="12.75">
      <c r="A19" s="79" t="s">
        <v>58</v>
      </c>
      <c r="B19" s="24" t="s">
        <v>59</v>
      </c>
      <c r="C19" t="s">
        <v>6</v>
      </c>
      <c r="D19" s="41">
        <v>0</v>
      </c>
      <c r="E19" s="41">
        <v>0</v>
      </c>
      <c r="F19" s="94">
        <v>0.327531</v>
      </c>
      <c r="G19" s="41">
        <v>555</v>
      </c>
      <c r="H19" s="41">
        <v>2</v>
      </c>
      <c r="I19" s="41">
        <v>0</v>
      </c>
      <c r="J19" s="41">
        <v>0</v>
      </c>
      <c r="K19" s="41">
        <v>0</v>
      </c>
      <c r="L19" s="73">
        <v>2</v>
      </c>
      <c r="M19" s="74">
        <f t="shared" si="0"/>
        <v>0</v>
      </c>
      <c r="N19" s="75">
        <f t="shared" si="1"/>
        <v>2</v>
      </c>
      <c r="O19" s="75">
        <f t="shared" si="2"/>
        <v>0</v>
      </c>
      <c r="P19" s="75">
        <f t="shared" si="3"/>
        <v>6.106292228827194</v>
      </c>
      <c r="Q19" s="75">
        <f t="shared" si="4"/>
        <v>0</v>
      </c>
      <c r="R19" s="75">
        <f t="shared" si="5"/>
        <v>0</v>
      </c>
      <c r="S19" s="75">
        <f t="shared" si="6"/>
        <v>0</v>
      </c>
      <c r="T19" s="25"/>
      <c r="U19" s="76"/>
      <c r="V19" s="77"/>
      <c r="W19" s="29"/>
      <c r="X19" s="16"/>
      <c r="Z19" s="4"/>
      <c r="AA19" s="13"/>
      <c r="AB19" s="13"/>
      <c r="AC19" s="13"/>
    </row>
    <row r="20" spans="2:24" ht="12.75">
      <c r="B20" s="6"/>
      <c r="C20" s="72"/>
      <c r="D20" s="40"/>
      <c r="E20" s="40"/>
      <c r="F20" s="44"/>
      <c r="G20" s="40"/>
      <c r="H20" s="41"/>
      <c r="I20" s="41"/>
      <c r="J20" s="41"/>
      <c r="K20" s="41"/>
      <c r="L20" s="41"/>
      <c r="M20" s="75"/>
      <c r="N20" s="75"/>
      <c r="O20" s="75"/>
      <c r="P20" s="75"/>
      <c r="Q20" s="75"/>
      <c r="R20" s="75"/>
      <c r="S20" s="75"/>
      <c r="U20" s="76"/>
      <c r="V20" s="81"/>
      <c r="W20" s="29"/>
      <c r="X20" s="16"/>
    </row>
    <row r="21" spans="2:24" ht="13.5" thickBot="1">
      <c r="B21" s="6"/>
      <c r="C21" s="82" t="s">
        <v>60</v>
      </c>
      <c r="D21" s="43">
        <f aca="true" t="shared" si="7" ref="D21:N21">SUM(D5:D20)</f>
        <v>27</v>
      </c>
      <c r="E21" s="43">
        <f t="shared" si="7"/>
        <v>344</v>
      </c>
      <c r="F21" s="45">
        <f t="shared" si="7"/>
        <v>3.4772380000000003</v>
      </c>
      <c r="G21" s="43">
        <f t="shared" si="7"/>
        <v>6440</v>
      </c>
      <c r="H21" s="43">
        <f t="shared" si="7"/>
        <v>85</v>
      </c>
      <c r="I21" s="43">
        <f t="shared" si="7"/>
        <v>48</v>
      </c>
      <c r="J21" s="43">
        <f t="shared" si="7"/>
        <v>593</v>
      </c>
      <c r="K21" s="43">
        <f t="shared" si="7"/>
        <v>257</v>
      </c>
      <c r="L21" s="43">
        <f t="shared" si="7"/>
        <v>13</v>
      </c>
      <c r="M21" s="43">
        <f t="shared" si="7"/>
        <v>601</v>
      </c>
      <c r="N21" s="43">
        <f t="shared" si="7"/>
        <v>160</v>
      </c>
      <c r="O21" s="51">
        <f>IF(F21=0,0,D21/F21)</f>
        <v>7.7647834286867905</v>
      </c>
      <c r="P21" s="51">
        <f>IF(F21=0,0,N21/F21)</f>
        <v>46.01353142925505</v>
      </c>
      <c r="Q21" s="51">
        <f>IF(F21=0,0,(D21+I21)/F21)</f>
        <v>21.568842857463306</v>
      </c>
      <c r="R21" s="43">
        <f>IF(F21=0,0,(M21+J21)/F21)</f>
        <v>343.37597829081585</v>
      </c>
      <c r="S21" s="51">
        <f>IF((D21+I21)=0,"",(M21+J21)/(D21+I21))</f>
        <v>15.92</v>
      </c>
      <c r="W21" s="29"/>
      <c r="X21" s="16"/>
    </row>
    <row r="22" spans="3:24" ht="12.75">
      <c r="C22" s="38"/>
      <c r="D22" s="40"/>
      <c r="E22" s="40"/>
      <c r="F22" s="44"/>
      <c r="G22" s="40"/>
      <c r="H22" s="42"/>
      <c r="I22" s="42"/>
      <c r="J22" s="42"/>
      <c r="K22" s="42"/>
      <c r="L22" s="42"/>
      <c r="M22" s="42"/>
      <c r="N22" s="41"/>
      <c r="O22" s="83"/>
      <c r="P22" s="50"/>
      <c r="Q22" s="50"/>
      <c r="R22" s="41"/>
      <c r="S22" s="50"/>
      <c r="W22" s="29"/>
      <c r="X22" s="16"/>
    </row>
    <row r="23" spans="3:24" ht="12.75">
      <c r="C23" s="16"/>
      <c r="D23" s="84"/>
      <c r="E23" s="84"/>
      <c r="F23" s="95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5"/>
      <c r="W23" s="16"/>
      <c r="X23" s="16"/>
    </row>
    <row r="24" spans="3:19" ht="12.75">
      <c r="C24" s="18"/>
      <c r="D24" s="84"/>
      <c r="E24" s="84"/>
      <c r="F24" s="95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5"/>
    </row>
    <row r="25" spans="3:13" ht="12.75">
      <c r="C25" s="5"/>
      <c r="D25" s="86"/>
      <c r="E25" s="86"/>
      <c r="F25" s="96"/>
      <c r="G25" s="86"/>
      <c r="L25" s="84"/>
      <c r="M25" s="84"/>
    </row>
    <row r="26" spans="3:13" ht="12.75">
      <c r="C26" s="5"/>
      <c r="D26" s="87"/>
      <c r="E26" s="87"/>
      <c r="F26" s="97"/>
      <c r="G26" s="87"/>
      <c r="L26" s="84"/>
      <c r="M26" s="84"/>
    </row>
    <row r="27" spans="3:13" ht="12.75">
      <c r="C27" s="5"/>
      <c r="D27" s="88"/>
      <c r="E27" s="88"/>
      <c r="F27" s="96"/>
      <c r="G27" s="88"/>
      <c r="L27" s="84"/>
      <c r="M27" s="84"/>
    </row>
    <row r="28" spans="3:13" ht="12.75">
      <c r="C28" s="5"/>
      <c r="D28" s="88"/>
      <c r="E28" s="88"/>
      <c r="F28" s="96"/>
      <c r="G28" s="88"/>
      <c r="L28" s="84"/>
      <c r="M28" s="84"/>
    </row>
    <row r="29" spans="1:13" ht="12.75">
      <c r="A29" s="70"/>
      <c r="C29" s="7"/>
      <c r="D29" s="86"/>
      <c r="E29" s="86"/>
      <c r="F29" s="96"/>
      <c r="G29" s="86"/>
      <c r="L29" s="84"/>
      <c r="M29" s="84"/>
    </row>
    <row r="30" spans="1:13" ht="12.75">
      <c r="A30" s="70"/>
      <c r="C30" s="70"/>
      <c r="D30" s="52"/>
      <c r="E30" s="52"/>
      <c r="G30" s="52"/>
      <c r="L30" s="84"/>
      <c r="M30" s="84"/>
    </row>
    <row r="31" spans="1:13" ht="12.75">
      <c r="A31" s="70"/>
      <c r="C31" s="70"/>
      <c r="D31" s="52"/>
      <c r="E31" s="52"/>
      <c r="G31" s="52"/>
      <c r="L31" s="84"/>
      <c r="M31" s="84"/>
    </row>
    <row r="32" spans="1:13" ht="12.75">
      <c r="A32" s="78"/>
      <c r="B32" s="6"/>
      <c r="C32" s="70"/>
      <c r="D32" s="52"/>
      <c r="E32" s="52"/>
      <c r="G32" s="52"/>
      <c r="L32" s="84"/>
      <c r="M32" s="84"/>
    </row>
    <row r="33" spans="1:7" ht="12.75">
      <c r="A33" s="79"/>
      <c r="B33" s="6"/>
      <c r="C33" s="70"/>
      <c r="D33" s="89"/>
      <c r="E33" s="89"/>
      <c r="F33" s="96"/>
      <c r="G33" s="89"/>
    </row>
    <row r="34" spans="1:7" ht="12.75">
      <c r="A34" s="70"/>
      <c r="B34" s="6"/>
      <c r="C34" s="70"/>
      <c r="D34" s="89"/>
      <c r="E34" s="89"/>
      <c r="F34" s="96"/>
      <c r="G34" s="89"/>
    </row>
    <row r="35" spans="1:7" ht="12.75">
      <c r="A35" s="78"/>
      <c r="B35" s="6"/>
      <c r="C35" s="70"/>
      <c r="D35" s="52"/>
      <c r="E35" s="52"/>
      <c r="G35" s="52"/>
    </row>
    <row r="36" spans="1:7" ht="12.75">
      <c r="A36" s="70"/>
      <c r="B36" s="6"/>
      <c r="C36" s="78"/>
      <c r="D36" s="89"/>
      <c r="E36" s="89"/>
      <c r="F36" s="96"/>
      <c r="G36" s="89"/>
    </row>
    <row r="37" spans="1:7" ht="12.75">
      <c r="A37" s="70"/>
      <c r="B37" s="6"/>
      <c r="C37" s="70"/>
      <c r="D37" s="52"/>
      <c r="E37" s="52"/>
      <c r="G37" s="52"/>
    </row>
    <row r="38" spans="1:7" ht="12.75">
      <c r="A38" s="70"/>
      <c r="B38" s="6"/>
      <c r="C38" s="79"/>
      <c r="D38" s="52"/>
      <c r="E38" s="52"/>
      <c r="G38" s="52"/>
    </row>
    <row r="39" spans="1:7" ht="12.75">
      <c r="A39" s="70"/>
      <c r="B39" s="6"/>
      <c r="C39" s="70"/>
      <c r="D39" s="89"/>
      <c r="E39" s="89"/>
      <c r="F39" s="96"/>
      <c r="G39" s="89"/>
    </row>
    <row r="40" spans="1:7" ht="12.75">
      <c r="A40" s="70"/>
      <c r="B40" s="6"/>
      <c r="C40" s="70"/>
      <c r="D40" s="89"/>
      <c r="E40" s="89"/>
      <c r="F40" s="96"/>
      <c r="G40" s="89"/>
    </row>
    <row r="41" spans="1:7" ht="12.75">
      <c r="A41" s="79"/>
      <c r="B41" s="30"/>
      <c r="C41" s="70"/>
      <c r="D41" s="89"/>
      <c r="E41" s="89"/>
      <c r="F41" s="96"/>
      <c r="G41" s="89"/>
    </row>
    <row r="42" spans="1:7" ht="12.75">
      <c r="A42" s="70"/>
      <c r="B42" s="6"/>
      <c r="C42" s="70"/>
      <c r="D42" s="89"/>
      <c r="E42" s="89"/>
      <c r="F42" s="96"/>
      <c r="G42" s="89"/>
    </row>
    <row r="43" spans="1:7" ht="12.75">
      <c r="A43" s="70"/>
      <c r="B43" s="6"/>
      <c r="C43" s="79"/>
      <c r="D43" s="89"/>
      <c r="E43" s="89"/>
      <c r="F43" s="96"/>
      <c r="G43" s="89"/>
    </row>
    <row r="44" spans="1:7" ht="12.75">
      <c r="A44" s="70"/>
      <c r="B44" s="6"/>
      <c r="C44" s="79"/>
      <c r="D44" s="52"/>
      <c r="E44" s="52"/>
      <c r="G44" s="52"/>
    </row>
    <row r="45" spans="1:7" ht="12.75">
      <c r="A45" s="78"/>
      <c r="B45" s="6"/>
      <c r="C45" s="70"/>
      <c r="D45" s="52"/>
      <c r="E45" s="52"/>
      <c r="G45" s="52"/>
    </row>
    <row r="46" spans="1:7" ht="12.75">
      <c r="A46" s="78"/>
      <c r="B46" s="6"/>
      <c r="C46" s="70"/>
      <c r="D46" s="89"/>
      <c r="E46" s="89"/>
      <c r="F46" s="96"/>
      <c r="G46" s="89"/>
    </row>
    <row r="47" spans="1:7" ht="12.75">
      <c r="A47" s="70"/>
      <c r="B47" s="6"/>
      <c r="C47" s="79"/>
      <c r="D47" s="52"/>
      <c r="E47" s="52"/>
      <c r="G47" s="52"/>
    </row>
    <row r="48" spans="1:7" ht="12.75">
      <c r="A48" s="70"/>
      <c r="B48" s="6"/>
      <c r="C48" s="70"/>
      <c r="D48" s="52"/>
      <c r="E48" s="52"/>
      <c r="G48" s="52"/>
    </row>
    <row r="49" spans="1:7" ht="12.75">
      <c r="A49" s="79"/>
      <c r="B49" s="6"/>
      <c r="C49" s="70"/>
      <c r="D49" s="89"/>
      <c r="E49" s="89"/>
      <c r="F49" s="96"/>
      <c r="G49" s="89"/>
    </row>
    <row r="50" spans="1:7" ht="12.75">
      <c r="A50" s="70"/>
      <c r="B50" s="6"/>
      <c r="C50" s="70"/>
      <c r="D50" s="52"/>
      <c r="E50" s="52"/>
      <c r="G50" s="52"/>
    </row>
    <row r="51" spans="1:7" ht="12.75">
      <c r="A51" s="70"/>
      <c r="B51" s="6"/>
      <c r="C51" s="70"/>
      <c r="D51" s="52"/>
      <c r="E51" s="52"/>
      <c r="G51" s="52"/>
    </row>
    <row r="52" spans="1:7" ht="12.75">
      <c r="A52" s="79"/>
      <c r="B52" s="6"/>
      <c r="C52" s="70"/>
      <c r="D52" s="89"/>
      <c r="E52" s="89"/>
      <c r="F52" s="96"/>
      <c r="G52" s="89"/>
    </row>
    <row r="53" spans="1:7" ht="12.75">
      <c r="A53" s="79"/>
      <c r="B53" s="6"/>
      <c r="C53" s="70"/>
      <c r="D53" s="89"/>
      <c r="E53" s="89"/>
      <c r="F53" s="96"/>
      <c r="G53" s="89"/>
    </row>
    <row r="54" spans="1:7" ht="12.75">
      <c r="A54" s="70"/>
      <c r="B54" s="6"/>
      <c r="C54" s="70"/>
      <c r="D54" s="52"/>
      <c r="E54" s="52"/>
      <c r="G54" s="52"/>
    </row>
    <row r="55" spans="1:7" ht="12.75">
      <c r="A55" s="70"/>
      <c r="B55" s="6"/>
      <c r="C55" s="70"/>
      <c r="D55" s="52"/>
      <c r="E55" s="52"/>
      <c r="G55" s="52"/>
    </row>
    <row r="56" spans="1:7" ht="12.75">
      <c r="A56" s="79"/>
      <c r="B56" s="6"/>
      <c r="C56" s="78"/>
      <c r="D56" s="89"/>
      <c r="E56" s="89"/>
      <c r="F56" s="96"/>
      <c r="G56" s="89"/>
    </row>
    <row r="57" spans="1:7" ht="12.75">
      <c r="A57" s="79"/>
      <c r="B57" s="6"/>
      <c r="C57" s="70"/>
      <c r="D57" s="89"/>
      <c r="E57" s="89"/>
      <c r="F57" s="96"/>
      <c r="G57" s="89"/>
    </row>
    <row r="58" spans="1:7" ht="12.75">
      <c r="A58" s="79"/>
      <c r="B58" s="6"/>
      <c r="C58" s="79"/>
      <c r="D58" s="89"/>
      <c r="E58" s="89"/>
      <c r="F58" s="96"/>
      <c r="G58" s="89"/>
    </row>
    <row r="59" spans="1:7" ht="12.75">
      <c r="A59" s="79"/>
      <c r="B59" s="6"/>
      <c r="C59" s="78"/>
      <c r="D59" s="52"/>
      <c r="E59" s="52"/>
      <c r="G59" s="52"/>
    </row>
    <row r="60" spans="1:7" ht="12.75">
      <c r="A60" s="70"/>
      <c r="B60" s="6"/>
      <c r="C60" s="70"/>
      <c r="D60" s="89"/>
      <c r="E60" s="89"/>
      <c r="F60" s="96"/>
      <c r="G60" s="89"/>
    </row>
    <row r="61" spans="1:7" ht="12.75">
      <c r="A61" s="70"/>
      <c r="B61" s="6"/>
      <c r="C61" s="79"/>
      <c r="D61" s="52"/>
      <c r="E61" s="52"/>
      <c r="G61" s="52"/>
    </row>
    <row r="62" spans="1:3" ht="12.75">
      <c r="A62" s="70"/>
      <c r="B62" s="6"/>
      <c r="C62" s="78"/>
    </row>
    <row r="63" spans="1:7" ht="12.75">
      <c r="A63" s="70"/>
      <c r="B63" s="6"/>
      <c r="C63" s="70"/>
      <c r="D63" s="89"/>
      <c r="E63" s="89"/>
      <c r="F63" s="96"/>
      <c r="G63" s="89"/>
    </row>
    <row r="64" spans="1:7" ht="12.75">
      <c r="A64" s="70"/>
      <c r="B64" s="6"/>
      <c r="C64" s="79"/>
      <c r="D64" s="52"/>
      <c r="E64" s="52"/>
      <c r="G64" s="52"/>
    </row>
    <row r="65" spans="1:7" ht="12.75">
      <c r="A65" s="79"/>
      <c r="B65" s="6"/>
      <c r="C65" s="70"/>
      <c r="D65" s="89"/>
      <c r="E65" s="89"/>
      <c r="F65" s="96"/>
      <c r="G65" s="89"/>
    </row>
    <row r="66" spans="1:7" ht="12.75">
      <c r="A66" s="79"/>
      <c r="B66" s="6"/>
      <c r="C66" s="79"/>
      <c r="D66" s="89"/>
      <c r="E66" s="89"/>
      <c r="F66" s="96"/>
      <c r="G66" s="89"/>
    </row>
    <row r="67" spans="1:3" ht="12.75">
      <c r="A67" s="70"/>
      <c r="B67" s="6"/>
      <c r="C67" s="79"/>
    </row>
    <row r="68" spans="1:7" ht="12.75">
      <c r="A68" s="70"/>
      <c r="C68" s="70"/>
      <c r="D68" s="52"/>
      <c r="E68" s="52"/>
      <c r="G68" s="52"/>
    </row>
    <row r="69" spans="1:3" ht="12.75">
      <c r="A69" s="70"/>
      <c r="B69" s="6"/>
      <c r="C69" s="70"/>
    </row>
    <row r="70" spans="1:7" ht="12.75">
      <c r="A70" s="70"/>
      <c r="C70" s="79"/>
      <c r="D70" s="52"/>
      <c r="E70" s="52"/>
      <c r="G70" s="52"/>
    </row>
    <row r="71" spans="1:7" ht="12.75">
      <c r="A71" s="70"/>
      <c r="C71" s="70"/>
      <c r="D71" s="52"/>
      <c r="E71" s="52"/>
      <c r="G71" s="52"/>
    </row>
    <row r="72" spans="3:7" ht="12.75">
      <c r="C72" s="79"/>
      <c r="D72" s="52"/>
      <c r="E72" s="52"/>
      <c r="G72" s="52"/>
    </row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>
      <c r="A95" s="70"/>
    </row>
    <row r="96" ht="12.75">
      <c r="A96" s="70"/>
    </row>
    <row r="97" ht="12.75">
      <c r="A97" s="70"/>
    </row>
    <row r="98" spans="1:2" ht="12.75">
      <c r="A98" s="78"/>
      <c r="B98" s="6"/>
    </row>
    <row r="99" spans="1:2" ht="12.75">
      <c r="A99" s="79"/>
      <c r="B99" s="6"/>
    </row>
    <row r="100" spans="1:2" ht="12.75">
      <c r="A100" s="70"/>
      <c r="B100" s="6"/>
    </row>
    <row r="101" spans="1:2" ht="12.75">
      <c r="A101" s="78"/>
      <c r="B101" s="6"/>
    </row>
    <row r="102" spans="1:2" ht="12.75">
      <c r="A102" s="70"/>
      <c r="B102" s="6"/>
    </row>
    <row r="103" spans="1:2" ht="12.75">
      <c r="A103" s="70"/>
      <c r="B103" s="6"/>
    </row>
    <row r="104" spans="1:2" ht="12.75">
      <c r="A104" s="70"/>
      <c r="B104" s="6"/>
    </row>
    <row r="105" spans="1:2" ht="12.75">
      <c r="A105" s="70"/>
      <c r="B105" s="6"/>
    </row>
    <row r="106" spans="1:2" ht="12.75">
      <c r="A106" s="70"/>
      <c r="B106" s="6"/>
    </row>
    <row r="107" spans="1:2" ht="12.75">
      <c r="A107" s="79"/>
      <c r="B107" s="30"/>
    </row>
    <row r="108" spans="1:2" ht="12.75">
      <c r="A108" s="70"/>
      <c r="B108" s="6"/>
    </row>
    <row r="109" spans="1:2" ht="12.75">
      <c r="A109" s="70"/>
      <c r="B109" s="6"/>
    </row>
    <row r="110" spans="1:2" ht="12.75">
      <c r="A110" s="70"/>
      <c r="B110" s="6"/>
    </row>
    <row r="111" spans="1:2" ht="12.75">
      <c r="A111" s="78"/>
      <c r="B111" s="6"/>
    </row>
    <row r="112" spans="1:2" ht="12.75">
      <c r="A112" s="78"/>
      <c r="B112" s="6"/>
    </row>
    <row r="113" spans="1:2" ht="12.75">
      <c r="A113" s="70"/>
      <c r="B113" s="6"/>
    </row>
    <row r="114" spans="1:2" ht="12.75">
      <c r="A114" s="70"/>
      <c r="B114" s="6"/>
    </row>
    <row r="115" spans="1:2" ht="12.75">
      <c r="A115" s="79"/>
      <c r="B115" s="6"/>
    </row>
    <row r="116" spans="1:2" ht="12.75">
      <c r="A116" s="70"/>
      <c r="B116" s="6"/>
    </row>
    <row r="117" spans="1:2" ht="12.75">
      <c r="A117" s="70"/>
      <c r="B117" s="6"/>
    </row>
    <row r="118" spans="1:2" ht="12.75">
      <c r="A118" s="79"/>
      <c r="B118" s="6"/>
    </row>
    <row r="119" spans="1:2" ht="12.75">
      <c r="A119" s="79"/>
      <c r="B119" s="6"/>
    </row>
    <row r="120" spans="1:2" ht="12.75">
      <c r="A120" s="70"/>
      <c r="B120" s="6"/>
    </row>
    <row r="121" spans="1:2" ht="12.75">
      <c r="A121" s="70"/>
      <c r="B121" s="6"/>
    </row>
    <row r="122" spans="1:2" ht="12.75">
      <c r="A122" s="79"/>
      <c r="B122" s="6"/>
    </row>
    <row r="123" spans="1:2" ht="12.75">
      <c r="A123" s="79"/>
      <c r="B123" s="6"/>
    </row>
    <row r="124" spans="1:2" ht="12.75">
      <c r="A124" s="79"/>
      <c r="B124" s="6"/>
    </row>
    <row r="125" spans="1:2" ht="12.75">
      <c r="A125" s="79"/>
      <c r="B125" s="6"/>
    </row>
    <row r="126" spans="1:2" ht="12.75">
      <c r="A126" s="70"/>
      <c r="B126" s="6"/>
    </row>
    <row r="127" spans="1:2" ht="12.75">
      <c r="A127" s="70"/>
      <c r="B127" s="6"/>
    </row>
    <row r="128" spans="1:2" ht="12.75">
      <c r="A128" s="70"/>
      <c r="B128" s="6"/>
    </row>
    <row r="129" spans="1:2" ht="12.75">
      <c r="A129" s="70"/>
      <c r="B129" s="6"/>
    </row>
    <row r="130" spans="1:2" ht="12.75">
      <c r="A130" s="70"/>
      <c r="B130" s="6"/>
    </row>
    <row r="131" spans="1:2" ht="12.75">
      <c r="A131" s="79"/>
      <c r="B131" s="6"/>
    </row>
    <row r="132" spans="1:2" ht="12.75">
      <c r="A132" s="79"/>
      <c r="B132" s="6"/>
    </row>
    <row r="133" spans="1:2" ht="12.75">
      <c r="A133" s="70"/>
      <c r="B133" s="6"/>
    </row>
    <row r="134" spans="1:2" ht="12.75">
      <c r="A134" s="70"/>
      <c r="B134" s="6"/>
    </row>
    <row r="135" spans="1:2" ht="12.75">
      <c r="A135" s="70"/>
      <c r="B135" s="6"/>
    </row>
    <row r="136" spans="1:2" ht="12.75">
      <c r="A136" s="70"/>
      <c r="B136" s="6"/>
    </row>
    <row r="137" spans="1:2" ht="12.75">
      <c r="A137" s="70"/>
      <c r="B137" s="6"/>
    </row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spans="4:7" ht="12.75">
      <c r="D152" s="86"/>
      <c r="E152" s="86"/>
      <c r="F152" s="96"/>
      <c r="G152" s="86"/>
    </row>
    <row r="153" spans="3:7" ht="12.75">
      <c r="C153" s="5"/>
      <c r="D153" s="87"/>
      <c r="E153" s="87"/>
      <c r="F153" s="97"/>
      <c r="G153" s="87"/>
    </row>
    <row r="154" spans="3:7" ht="12.75">
      <c r="C154" s="5"/>
      <c r="D154" s="88"/>
      <c r="E154" s="88"/>
      <c r="F154" s="96"/>
      <c r="G154" s="88"/>
    </row>
    <row r="155" spans="3:7" ht="12.75">
      <c r="C155" s="5"/>
      <c r="D155" s="88"/>
      <c r="E155" s="88"/>
      <c r="F155" s="96"/>
      <c r="G155" s="88"/>
    </row>
    <row r="156" spans="1:7" ht="12.75">
      <c r="A156" s="70"/>
      <c r="D156" s="86"/>
      <c r="E156" s="86"/>
      <c r="F156" s="96"/>
      <c r="G156" s="86"/>
    </row>
    <row r="157" spans="1:7" ht="12.75">
      <c r="A157" s="70"/>
      <c r="C157" s="79"/>
      <c r="D157" s="52"/>
      <c r="E157" s="52"/>
      <c r="G157" s="52"/>
    </row>
    <row r="158" spans="1:7" ht="12.75">
      <c r="A158" s="70"/>
      <c r="C158" s="70"/>
      <c r="D158" s="52"/>
      <c r="E158" s="52"/>
      <c r="G158" s="52"/>
    </row>
    <row r="159" spans="1:7" ht="12.75">
      <c r="A159" s="78"/>
      <c r="B159" s="6"/>
      <c r="C159" s="70"/>
      <c r="D159" s="52"/>
      <c r="E159" s="52"/>
      <c r="G159" s="52"/>
    </row>
    <row r="160" spans="1:7" ht="12.75">
      <c r="A160" s="79"/>
      <c r="B160" s="6"/>
      <c r="C160" s="79"/>
      <c r="D160" s="52"/>
      <c r="E160" s="52"/>
      <c r="G160" s="52"/>
    </row>
    <row r="161" spans="1:7" ht="12.75">
      <c r="A161" s="70"/>
      <c r="B161" s="6"/>
      <c r="C161" s="79"/>
      <c r="D161" s="52"/>
      <c r="E161" s="52"/>
      <c r="G161" s="52"/>
    </row>
    <row r="162" spans="1:7" ht="12.75">
      <c r="A162" s="78"/>
      <c r="B162" s="6"/>
      <c r="C162" s="70"/>
      <c r="D162" s="52"/>
      <c r="E162" s="52"/>
      <c r="G162" s="52"/>
    </row>
    <row r="163" spans="1:7" ht="12.75">
      <c r="A163" s="70"/>
      <c r="B163" s="6"/>
      <c r="C163" s="70"/>
      <c r="D163" s="52"/>
      <c r="E163" s="52"/>
      <c r="G163" s="52"/>
    </row>
    <row r="164" spans="1:7" ht="12.75">
      <c r="A164" s="70"/>
      <c r="B164" s="6"/>
      <c r="C164" s="70"/>
      <c r="D164" s="52"/>
      <c r="E164" s="52"/>
      <c r="G164" s="52"/>
    </row>
    <row r="165" spans="1:7" ht="12.75">
      <c r="A165" s="70"/>
      <c r="B165" s="6"/>
      <c r="C165" s="70"/>
      <c r="D165" s="52"/>
      <c r="E165" s="52"/>
      <c r="G165" s="52"/>
    </row>
    <row r="166" spans="1:7" ht="12.75">
      <c r="A166" s="70"/>
      <c r="B166" s="6"/>
      <c r="C166" s="70"/>
      <c r="D166" s="52"/>
      <c r="E166" s="52"/>
      <c r="G166" s="52"/>
    </row>
    <row r="167" spans="1:7" ht="12.75">
      <c r="A167" s="70"/>
      <c r="B167" s="6"/>
      <c r="C167" s="70"/>
      <c r="D167" s="52"/>
      <c r="E167" s="52"/>
      <c r="G167" s="52"/>
    </row>
    <row r="168" spans="1:7" ht="12.75">
      <c r="A168" s="79"/>
      <c r="B168" s="30"/>
      <c r="C168" s="70"/>
      <c r="D168" s="52"/>
      <c r="E168" s="52"/>
      <c r="G168" s="52"/>
    </row>
    <row r="169" spans="1:7" ht="12.75">
      <c r="A169" s="70"/>
      <c r="B169" s="6"/>
      <c r="C169" s="70"/>
      <c r="D169" s="52"/>
      <c r="E169" s="52"/>
      <c r="G169" s="52"/>
    </row>
    <row r="170" spans="1:7" ht="12.75">
      <c r="A170" s="70"/>
      <c r="B170" s="6"/>
      <c r="C170" s="70"/>
      <c r="D170" s="52"/>
      <c r="E170" s="52"/>
      <c r="G170" s="52"/>
    </row>
    <row r="171" spans="1:7" ht="12.75">
      <c r="A171" s="70"/>
      <c r="B171" s="6"/>
      <c r="C171" s="70"/>
      <c r="D171" s="52"/>
      <c r="E171" s="52"/>
      <c r="G171" s="52"/>
    </row>
    <row r="172" spans="1:7" ht="12.75">
      <c r="A172" s="78"/>
      <c r="B172" s="6"/>
      <c r="C172" s="70"/>
      <c r="D172" s="52"/>
      <c r="E172" s="52"/>
      <c r="G172" s="52"/>
    </row>
    <row r="173" spans="1:7" ht="12.75">
      <c r="A173" s="78"/>
      <c r="B173" s="6"/>
      <c r="C173" s="70"/>
      <c r="D173" s="52"/>
      <c r="E173" s="52"/>
      <c r="G173" s="52"/>
    </row>
    <row r="174" spans="1:7" ht="12.75">
      <c r="A174" s="70"/>
      <c r="B174" s="6"/>
      <c r="C174" s="78"/>
      <c r="D174" s="52"/>
      <c r="E174" s="52"/>
      <c r="G174" s="52"/>
    </row>
    <row r="175" spans="1:7" ht="12.75">
      <c r="A175" s="70"/>
      <c r="B175" s="6"/>
      <c r="C175" s="79"/>
      <c r="D175" s="52"/>
      <c r="E175" s="52"/>
      <c r="G175" s="52"/>
    </row>
    <row r="176" spans="1:7" ht="12.75">
      <c r="A176" s="79"/>
      <c r="B176" s="6"/>
      <c r="C176" s="70"/>
      <c r="D176" s="52"/>
      <c r="E176" s="52"/>
      <c r="G176" s="52"/>
    </row>
    <row r="177" spans="1:7" ht="12.75">
      <c r="A177" s="70"/>
      <c r="B177" s="6"/>
      <c r="C177" s="70"/>
      <c r="D177" s="52"/>
      <c r="E177" s="52"/>
      <c r="G177" s="52"/>
    </row>
    <row r="178" spans="1:7" ht="12.75">
      <c r="A178" s="70"/>
      <c r="B178" s="6"/>
      <c r="C178" s="70"/>
      <c r="D178" s="52"/>
      <c r="E178" s="52"/>
      <c r="G178" s="52"/>
    </row>
    <row r="179" spans="1:7" ht="12.75">
      <c r="A179" s="79"/>
      <c r="B179" s="6"/>
      <c r="C179" s="70"/>
      <c r="D179" s="52"/>
      <c r="E179" s="52"/>
      <c r="G179" s="52"/>
    </row>
    <row r="180" spans="1:7" ht="12.75">
      <c r="A180" s="79"/>
      <c r="B180" s="6"/>
      <c r="C180" s="70"/>
      <c r="D180" s="52"/>
      <c r="E180" s="52"/>
      <c r="G180" s="52"/>
    </row>
    <row r="181" spans="1:7" ht="12.75">
      <c r="A181" s="70"/>
      <c r="B181" s="6"/>
      <c r="C181" s="70"/>
      <c r="D181" s="52"/>
      <c r="E181" s="52"/>
      <c r="G181" s="52"/>
    </row>
    <row r="182" spans="1:7" ht="12.75">
      <c r="A182" s="70"/>
      <c r="B182" s="6"/>
      <c r="C182" s="78"/>
      <c r="D182" s="52"/>
      <c r="E182" s="52"/>
      <c r="G182" s="52"/>
    </row>
    <row r="183" spans="1:7" ht="12.75">
      <c r="A183" s="79"/>
      <c r="B183" s="6"/>
      <c r="C183" s="79"/>
      <c r="D183" s="52"/>
      <c r="E183" s="52"/>
      <c r="G183" s="52"/>
    </row>
    <row r="184" spans="1:7" ht="12.75">
      <c r="A184" s="79"/>
      <c r="B184" s="6"/>
      <c r="C184" s="70"/>
      <c r="D184" s="52"/>
      <c r="E184" s="52"/>
      <c r="G184" s="52"/>
    </row>
    <row r="185" spans="1:7" ht="12.75">
      <c r="A185" s="79"/>
      <c r="B185" s="6"/>
      <c r="C185" s="78"/>
      <c r="D185" s="52"/>
      <c r="E185" s="52"/>
      <c r="G185" s="52"/>
    </row>
    <row r="186" spans="1:7" ht="12.75">
      <c r="A186" s="79"/>
      <c r="B186" s="6"/>
      <c r="C186" s="70"/>
      <c r="D186" s="52"/>
      <c r="E186" s="52"/>
      <c r="G186" s="52"/>
    </row>
    <row r="187" spans="1:3" ht="12.75">
      <c r="A187" s="70"/>
      <c r="B187" s="6"/>
      <c r="C187" s="78"/>
    </row>
    <row r="188" spans="1:7" ht="12.75">
      <c r="A188" s="70"/>
      <c r="B188" s="6"/>
      <c r="C188" s="79"/>
      <c r="D188" s="52"/>
      <c r="E188" s="52"/>
      <c r="G188" s="52"/>
    </row>
    <row r="189" spans="1:7" ht="12.75">
      <c r="A189" s="70"/>
      <c r="B189" s="6"/>
      <c r="C189" s="70"/>
      <c r="D189" s="52"/>
      <c r="E189" s="52"/>
      <c r="G189" s="52"/>
    </row>
    <row r="190" spans="1:7" ht="12.75">
      <c r="A190" s="70"/>
      <c r="B190" s="6"/>
      <c r="C190" s="70"/>
      <c r="D190" s="52"/>
      <c r="E190" s="52"/>
      <c r="G190" s="52"/>
    </row>
    <row r="191" spans="1:3" ht="12.75">
      <c r="A191" s="70"/>
      <c r="B191" s="6"/>
      <c r="C191" s="79"/>
    </row>
    <row r="192" spans="1:3" ht="12.75">
      <c r="A192" s="79"/>
      <c r="B192" s="6"/>
      <c r="C192" s="70"/>
    </row>
    <row r="193" spans="1:7" ht="12.75">
      <c r="A193" s="79"/>
      <c r="B193" s="6"/>
      <c r="C193" s="79"/>
      <c r="D193" s="52"/>
      <c r="E193" s="52"/>
      <c r="G193" s="52"/>
    </row>
    <row r="194" spans="1:7" ht="12.75">
      <c r="A194" s="70"/>
      <c r="B194" s="6"/>
      <c r="C194" s="79"/>
      <c r="D194" s="52"/>
      <c r="E194" s="52"/>
      <c r="G194" s="52"/>
    </row>
    <row r="195" spans="1:7" ht="12.75">
      <c r="A195" s="70"/>
      <c r="B195" s="6"/>
      <c r="C195" s="70"/>
      <c r="D195" s="52"/>
      <c r="E195" s="52"/>
      <c r="G195" s="52"/>
    </row>
    <row r="196" spans="1:7" ht="12.75">
      <c r="A196" s="70"/>
      <c r="B196" s="6"/>
      <c r="C196" s="79"/>
      <c r="D196" s="52"/>
      <c r="E196" s="52"/>
      <c r="G196" s="52"/>
    </row>
    <row r="197" spans="1:7" ht="12.75">
      <c r="A197" s="70"/>
      <c r="C197" s="79"/>
      <c r="D197" s="52"/>
      <c r="E197" s="52"/>
      <c r="G197" s="52"/>
    </row>
    <row r="198" spans="1:3" ht="12.75">
      <c r="A198" s="70"/>
      <c r="C198" s="70"/>
    </row>
    <row r="199" spans="3:7" ht="12.75">
      <c r="C199" s="70"/>
      <c r="D199" s="52"/>
      <c r="E199" s="52"/>
      <c r="G199" s="52"/>
    </row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</sheetData>
  <sheetProtection/>
  <printOptions/>
  <pageMargins left="0.15748031496062992" right="0.2362204724409449" top="0.31496062992125984" bottom="0.6692913385826772" header="0.2362204724409449" footer="0.5118110236220472"/>
  <pageSetup fitToHeight="1" fitToWidth="1"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199"/>
  <sheetViews>
    <sheetView tabSelected="1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9.7109375" style="0" customWidth="1"/>
    <col min="2" max="2" width="9.7109375" style="0" customWidth="1"/>
    <col min="3" max="4" width="9.7109375" style="99" customWidth="1"/>
    <col min="5" max="5" width="9.7109375" style="104" customWidth="1"/>
    <col min="6" max="12" width="9.7109375" style="99" customWidth="1"/>
    <col min="13" max="14" width="9.7109375" style="168" customWidth="1"/>
    <col min="15" max="16" width="9.7109375" style="110" customWidth="1"/>
    <col min="17" max="17" width="10.28125" style="110" customWidth="1"/>
    <col min="18" max="19" width="9.7109375" style="99" customWidth="1"/>
    <col min="21" max="21" width="9.8515625" style="0" customWidth="1"/>
    <col min="25" max="25" width="17.8515625" style="0" customWidth="1"/>
  </cols>
  <sheetData>
    <row r="1" spans="1:2" ht="12.75">
      <c r="A1" s="14" t="s">
        <v>91</v>
      </c>
      <c r="B1" s="14"/>
    </row>
    <row r="2" spans="1:19" ht="13.5">
      <c r="A2" s="39" t="s">
        <v>87</v>
      </c>
      <c r="B2" s="39"/>
      <c r="C2" s="100"/>
      <c r="D2" s="100"/>
      <c r="E2" s="105"/>
      <c r="F2" s="100"/>
      <c r="G2" s="100"/>
      <c r="H2" s="100"/>
      <c r="I2" s="100"/>
      <c r="J2" s="100"/>
      <c r="K2" s="100"/>
      <c r="L2" s="100"/>
      <c r="M2" s="169"/>
      <c r="N2" s="169"/>
      <c r="O2" s="111"/>
      <c r="P2" s="111"/>
      <c r="Q2" s="111"/>
      <c r="R2" s="100"/>
      <c r="S2" s="100"/>
    </row>
    <row r="3" spans="1:21" ht="12.75">
      <c r="A3" s="54" t="s">
        <v>29</v>
      </c>
      <c r="B3" s="54"/>
      <c r="C3" s="100"/>
      <c r="D3" s="100"/>
      <c r="E3" s="105"/>
      <c r="F3" s="100"/>
      <c r="G3" s="100"/>
      <c r="H3" s="100"/>
      <c r="I3" s="100"/>
      <c r="J3" s="100"/>
      <c r="K3" s="100"/>
      <c r="L3" s="100"/>
      <c r="M3" s="169"/>
      <c r="N3" s="169"/>
      <c r="O3" s="111"/>
      <c r="P3" s="111"/>
      <c r="Q3" s="111"/>
      <c r="R3" s="100"/>
      <c r="S3" s="100"/>
      <c r="T3" s="3"/>
      <c r="U3" s="3"/>
    </row>
    <row r="4" spans="1:35" ht="39">
      <c r="A4" s="136" t="s">
        <v>0</v>
      </c>
      <c r="B4" s="149" t="s">
        <v>90</v>
      </c>
      <c r="C4" s="137" t="s">
        <v>11</v>
      </c>
      <c r="D4" s="137" t="s">
        <v>31</v>
      </c>
      <c r="E4" s="138" t="s">
        <v>82</v>
      </c>
      <c r="F4" s="137" t="s">
        <v>18</v>
      </c>
      <c r="G4" s="137" t="s">
        <v>17</v>
      </c>
      <c r="H4" s="137" t="s">
        <v>32</v>
      </c>
      <c r="I4" s="137" t="s">
        <v>33</v>
      </c>
      <c r="J4" s="137" t="s">
        <v>19</v>
      </c>
      <c r="K4" s="137" t="s">
        <v>34</v>
      </c>
      <c r="L4" s="137" t="s">
        <v>15</v>
      </c>
      <c r="M4" s="165" t="s">
        <v>92</v>
      </c>
      <c r="N4" s="177" t="s">
        <v>93</v>
      </c>
      <c r="O4" s="139" t="s">
        <v>20</v>
      </c>
      <c r="P4" s="139" t="s">
        <v>16</v>
      </c>
      <c r="Q4" s="139" t="s">
        <v>81</v>
      </c>
      <c r="R4" s="137" t="s">
        <v>80</v>
      </c>
      <c r="S4" s="137" t="s">
        <v>79</v>
      </c>
      <c r="T4" s="61"/>
      <c r="U4" s="61"/>
      <c r="V4" s="62"/>
      <c r="W4" s="62"/>
      <c r="X4" s="62"/>
      <c r="Y4" s="63"/>
      <c r="Z4" s="63"/>
      <c r="AI4" s="64"/>
    </row>
    <row r="5" spans="2:35" ht="12.75">
      <c r="B5" s="153"/>
      <c r="C5"/>
      <c r="D5"/>
      <c r="E5"/>
      <c r="F5"/>
      <c r="G5"/>
      <c r="H5"/>
      <c r="I5"/>
      <c r="J5"/>
      <c r="K5"/>
      <c r="L5"/>
      <c r="M5" s="166"/>
      <c r="N5" s="166"/>
      <c r="O5"/>
      <c r="P5"/>
      <c r="Q5" s="49"/>
      <c r="R5" s="178"/>
      <c r="S5" s="178"/>
      <c r="T5" s="61"/>
      <c r="U5" s="61"/>
      <c r="V5" s="62"/>
      <c r="W5" s="62"/>
      <c r="X5" s="62"/>
      <c r="Y5" s="63"/>
      <c r="Z5" s="63"/>
      <c r="AI5" s="3"/>
    </row>
    <row r="6" spans="1:29" s="18" customFormat="1" ht="12.75">
      <c r="A6" s="114" t="s">
        <v>13</v>
      </c>
      <c r="B6" s="150">
        <v>0</v>
      </c>
      <c r="C6" s="115">
        <v>0</v>
      </c>
      <c r="D6" s="115">
        <v>0</v>
      </c>
      <c r="E6" s="116">
        <v>0.017043</v>
      </c>
      <c r="F6" s="115">
        <v>0</v>
      </c>
      <c r="G6" s="115">
        <v>0</v>
      </c>
      <c r="H6" s="115">
        <v>0</v>
      </c>
      <c r="I6" s="115">
        <v>0</v>
      </c>
      <c r="J6" s="115">
        <v>0</v>
      </c>
      <c r="K6" s="117">
        <f>D6+I6</f>
        <v>0</v>
      </c>
      <c r="L6" s="115">
        <f>C6+G6+F6</f>
        <v>0</v>
      </c>
      <c r="M6" s="167">
        <f aca="true" t="shared" si="0" ref="M6:M19">IF(B6="",0,B6/E6)</f>
        <v>0</v>
      </c>
      <c r="N6" s="167">
        <f aca="true" t="shared" si="1" ref="N6:N19">IF(J6="",0,J6/E6)</f>
        <v>0</v>
      </c>
      <c r="O6" s="118">
        <f>IF(E6="",0,C6/E6)</f>
        <v>0</v>
      </c>
      <c r="P6" s="118">
        <f>IF(E6="",0,L6/E6)</f>
        <v>0</v>
      </c>
      <c r="Q6" s="118">
        <f>IF(E6="",0,(C6+G6)/E6)</f>
        <v>0</v>
      </c>
      <c r="R6" s="115">
        <f aca="true" t="shared" si="2" ref="R6:R21">IF(E6="",0,(K6+H6)/E6)</f>
        <v>0</v>
      </c>
      <c r="S6" s="115">
        <f aca="true" t="shared" si="3" ref="S6:S21">IF((C6+G6)=0,0,(K6+H6)/(C6+G6))</f>
        <v>0</v>
      </c>
      <c r="T6" s="25"/>
      <c r="U6" s="81"/>
      <c r="V6" s="77"/>
      <c r="W6" s="29"/>
      <c r="X6" s="16"/>
      <c r="Z6" s="26"/>
      <c r="AA6" s="34"/>
      <c r="AB6" s="34"/>
      <c r="AC6" s="34"/>
    </row>
    <row r="7" spans="1:29" ht="12.75">
      <c r="A7" s="114" t="s">
        <v>24</v>
      </c>
      <c r="B7" s="150">
        <v>2</v>
      </c>
      <c r="C7" s="115">
        <v>12</v>
      </c>
      <c r="D7" s="115">
        <v>231</v>
      </c>
      <c r="E7" s="116">
        <v>1.546143</v>
      </c>
      <c r="F7" s="115">
        <v>8</v>
      </c>
      <c r="G7" s="115">
        <v>15</v>
      </c>
      <c r="H7" s="115">
        <v>473</v>
      </c>
      <c r="I7" s="115">
        <v>193</v>
      </c>
      <c r="J7" s="115">
        <v>29</v>
      </c>
      <c r="K7" s="117">
        <f aca="true" t="shared" si="4" ref="K7:K19">D7+I7</f>
        <v>424</v>
      </c>
      <c r="L7" s="115">
        <f aca="true" t="shared" si="5" ref="L7:L19">C7+G7+F7</f>
        <v>35</v>
      </c>
      <c r="M7" s="170">
        <f t="shared" si="0"/>
        <v>1.2935414124049327</v>
      </c>
      <c r="N7" s="170">
        <f t="shared" si="1"/>
        <v>18.756350479871525</v>
      </c>
      <c r="O7" s="118">
        <f aca="true" t="shared" si="6" ref="O7:O19">IF(E7="",0,C7/E7)</f>
        <v>7.761248474429596</v>
      </c>
      <c r="P7" s="118">
        <f aca="true" t="shared" si="7" ref="P7:P19">IF(E7="",0,L7/E7)</f>
        <v>22.636974717086325</v>
      </c>
      <c r="Q7" s="118">
        <f aca="true" t="shared" si="8" ref="Q7:Q19">IF(E7="",0,(C7+G7)/E7)</f>
        <v>17.46280906746659</v>
      </c>
      <c r="R7" s="115">
        <f t="shared" si="2"/>
        <v>580.1533234636123</v>
      </c>
      <c r="S7" s="115">
        <f t="shared" si="3"/>
        <v>33.22222222222222</v>
      </c>
      <c r="T7" s="25"/>
      <c r="U7" s="76"/>
      <c r="V7" s="77"/>
      <c r="W7" s="29"/>
      <c r="X7" s="25"/>
      <c r="Y7" s="16"/>
      <c r="Z7" s="4"/>
      <c r="AA7" s="13"/>
      <c r="AB7" s="13"/>
      <c r="AC7" s="13"/>
    </row>
    <row r="8" spans="1:29" s="18" customFormat="1" ht="12.75">
      <c r="A8" s="114" t="s">
        <v>75</v>
      </c>
      <c r="B8" s="150">
        <v>5</v>
      </c>
      <c r="C8" s="115">
        <v>13</v>
      </c>
      <c r="D8" s="115">
        <v>721</v>
      </c>
      <c r="E8" s="116">
        <v>1.070857</v>
      </c>
      <c r="F8" s="115">
        <v>9</v>
      </c>
      <c r="G8" s="115">
        <v>0</v>
      </c>
      <c r="H8" s="115">
        <v>0</v>
      </c>
      <c r="I8" s="115">
        <v>50</v>
      </c>
      <c r="J8" s="115">
        <v>37</v>
      </c>
      <c r="K8" s="117">
        <f t="shared" si="4"/>
        <v>771</v>
      </c>
      <c r="L8" s="115">
        <f t="shared" si="5"/>
        <v>22</v>
      </c>
      <c r="M8" s="170">
        <f t="shared" si="0"/>
        <v>4.669157506557832</v>
      </c>
      <c r="N8" s="170">
        <f t="shared" si="1"/>
        <v>34.55176554852795</v>
      </c>
      <c r="O8" s="118">
        <f t="shared" si="6"/>
        <v>12.139809517050363</v>
      </c>
      <c r="P8" s="118">
        <f t="shared" si="7"/>
        <v>20.54429302885446</v>
      </c>
      <c r="Q8" s="118">
        <f t="shared" si="8"/>
        <v>12.139809517050363</v>
      </c>
      <c r="R8" s="115">
        <f t="shared" si="2"/>
        <v>719.9840875112177</v>
      </c>
      <c r="S8" s="115">
        <f t="shared" si="3"/>
        <v>59.30769230769231</v>
      </c>
      <c r="T8" s="25"/>
      <c r="U8" s="81"/>
      <c r="V8" s="77"/>
      <c r="W8" s="29"/>
      <c r="X8" s="16"/>
      <c r="Z8" s="26"/>
      <c r="AA8" s="34"/>
      <c r="AB8" s="34"/>
      <c r="AC8" s="34"/>
    </row>
    <row r="9" spans="1:29" ht="12.75">
      <c r="A9" s="114" t="s">
        <v>1</v>
      </c>
      <c r="B9" s="150">
        <v>2</v>
      </c>
      <c r="C9" s="115">
        <v>7</v>
      </c>
      <c r="D9" s="115">
        <v>180</v>
      </c>
      <c r="E9" s="116">
        <v>0.504257</v>
      </c>
      <c r="F9" s="115">
        <v>12</v>
      </c>
      <c r="G9" s="115">
        <v>7</v>
      </c>
      <c r="H9" s="115">
        <v>216</v>
      </c>
      <c r="I9" s="115">
        <v>22</v>
      </c>
      <c r="J9" s="115">
        <v>31</v>
      </c>
      <c r="K9" s="117">
        <f t="shared" si="4"/>
        <v>202</v>
      </c>
      <c r="L9" s="115">
        <f t="shared" si="5"/>
        <v>26</v>
      </c>
      <c r="M9" s="170">
        <f t="shared" si="0"/>
        <v>3.966231504966714</v>
      </c>
      <c r="N9" s="170">
        <f t="shared" si="1"/>
        <v>61.476588326984064</v>
      </c>
      <c r="O9" s="118">
        <f t="shared" si="6"/>
        <v>13.881810267383498</v>
      </c>
      <c r="P9" s="118">
        <f t="shared" si="7"/>
        <v>51.56100956456728</v>
      </c>
      <c r="Q9" s="118">
        <f t="shared" si="8"/>
        <v>27.763620534766996</v>
      </c>
      <c r="R9" s="115">
        <f t="shared" si="2"/>
        <v>828.9423845380431</v>
      </c>
      <c r="S9" s="115">
        <f t="shared" si="3"/>
        <v>29.857142857142858</v>
      </c>
      <c r="T9" s="25"/>
      <c r="U9" s="76"/>
      <c r="V9" s="77"/>
      <c r="W9" s="25"/>
      <c r="Z9" s="4"/>
      <c r="AA9" s="13"/>
      <c r="AB9" s="13"/>
      <c r="AC9" s="13"/>
    </row>
    <row r="10" spans="1:29" s="18" customFormat="1" ht="12.75">
      <c r="A10" s="114" t="s">
        <v>2</v>
      </c>
      <c r="B10" s="150">
        <v>0</v>
      </c>
      <c r="C10" s="115">
        <v>0</v>
      </c>
      <c r="D10" s="115">
        <v>0</v>
      </c>
      <c r="E10" s="116">
        <v>0.016379</v>
      </c>
      <c r="F10" s="115">
        <v>0</v>
      </c>
      <c r="G10" s="115">
        <v>0</v>
      </c>
      <c r="H10" s="115">
        <v>0</v>
      </c>
      <c r="I10" s="115">
        <v>0</v>
      </c>
      <c r="J10" s="115">
        <v>0</v>
      </c>
      <c r="K10" s="117">
        <f t="shared" si="4"/>
        <v>0</v>
      </c>
      <c r="L10" s="115">
        <f t="shared" si="5"/>
        <v>0</v>
      </c>
      <c r="M10" s="170">
        <f t="shared" si="0"/>
        <v>0</v>
      </c>
      <c r="N10" s="170">
        <f t="shared" si="1"/>
        <v>0</v>
      </c>
      <c r="O10" s="118">
        <f t="shared" si="6"/>
        <v>0</v>
      </c>
      <c r="P10" s="118">
        <f t="shared" si="7"/>
        <v>0</v>
      </c>
      <c r="Q10" s="118">
        <f t="shared" si="8"/>
        <v>0</v>
      </c>
      <c r="R10" s="115">
        <f t="shared" si="2"/>
        <v>0</v>
      </c>
      <c r="S10" s="115">
        <f t="shared" si="3"/>
        <v>0</v>
      </c>
      <c r="T10" s="25"/>
      <c r="U10" s="81"/>
      <c r="V10" s="77"/>
      <c r="W10" s="25"/>
      <c r="Z10" s="26"/>
      <c r="AA10" s="34"/>
      <c r="AB10" s="34"/>
      <c r="AC10" s="34"/>
    </row>
    <row r="11" spans="1:29" ht="12.75">
      <c r="A11" s="114" t="s">
        <v>76</v>
      </c>
      <c r="B11" s="150">
        <v>0</v>
      </c>
      <c r="C11" s="115">
        <v>0</v>
      </c>
      <c r="D11" s="115">
        <v>0</v>
      </c>
      <c r="E11" s="116">
        <v>0.020349</v>
      </c>
      <c r="F11" s="115">
        <v>0</v>
      </c>
      <c r="G11" s="115">
        <v>0</v>
      </c>
      <c r="H11" s="115">
        <v>0</v>
      </c>
      <c r="I11" s="115">
        <v>0</v>
      </c>
      <c r="J11" s="115">
        <v>1</v>
      </c>
      <c r="K11" s="117">
        <f t="shared" si="4"/>
        <v>0</v>
      </c>
      <c r="L11" s="115">
        <f t="shared" si="5"/>
        <v>0</v>
      </c>
      <c r="M11" s="170">
        <f t="shared" si="0"/>
        <v>0</v>
      </c>
      <c r="N11" s="170">
        <f t="shared" si="1"/>
        <v>49.14246400314512</v>
      </c>
      <c r="O11" s="118">
        <f t="shared" si="6"/>
        <v>0</v>
      </c>
      <c r="P11" s="118">
        <f t="shared" si="7"/>
        <v>0</v>
      </c>
      <c r="Q11" s="118">
        <f t="shared" si="8"/>
        <v>0</v>
      </c>
      <c r="R11" s="115">
        <f t="shared" si="2"/>
        <v>0</v>
      </c>
      <c r="S11" s="115">
        <f t="shared" si="3"/>
        <v>0</v>
      </c>
      <c r="T11" s="25"/>
      <c r="U11" s="76"/>
      <c r="V11" s="77"/>
      <c r="W11" s="25"/>
      <c r="Z11" s="4"/>
      <c r="AA11" s="13"/>
      <c r="AB11" s="13"/>
      <c r="AC11" s="13"/>
    </row>
    <row r="12" spans="1:29" s="18" customFormat="1" ht="12.75">
      <c r="A12" s="114" t="s">
        <v>77</v>
      </c>
      <c r="B12" s="150">
        <v>0</v>
      </c>
      <c r="C12" s="115">
        <v>1</v>
      </c>
      <c r="D12" s="115">
        <v>60</v>
      </c>
      <c r="E12" s="116">
        <v>0.74175</v>
      </c>
      <c r="F12" s="115">
        <v>66</v>
      </c>
      <c r="G12" s="115">
        <v>9</v>
      </c>
      <c r="H12" s="115">
        <v>395</v>
      </c>
      <c r="I12" s="115">
        <v>89</v>
      </c>
      <c r="J12" s="115">
        <v>17</v>
      </c>
      <c r="K12" s="117">
        <f t="shared" si="4"/>
        <v>149</v>
      </c>
      <c r="L12" s="115">
        <f t="shared" si="5"/>
        <v>76</v>
      </c>
      <c r="M12" s="170">
        <f t="shared" si="0"/>
        <v>0</v>
      </c>
      <c r="N12" s="170">
        <f t="shared" si="1"/>
        <v>22.918773171553756</v>
      </c>
      <c r="O12" s="118">
        <f t="shared" si="6"/>
        <v>1.3481631277384563</v>
      </c>
      <c r="P12" s="118">
        <f t="shared" si="7"/>
        <v>102.46039770812268</v>
      </c>
      <c r="Q12" s="118">
        <f t="shared" si="8"/>
        <v>13.481631277384563</v>
      </c>
      <c r="R12" s="115">
        <f t="shared" si="2"/>
        <v>733.4007414897202</v>
      </c>
      <c r="S12" s="115">
        <f t="shared" si="3"/>
        <v>54.4</v>
      </c>
      <c r="T12" s="25"/>
      <c r="U12" s="81"/>
      <c r="V12" s="77"/>
      <c r="W12" s="25"/>
      <c r="Z12" s="26"/>
      <c r="AA12" s="34"/>
      <c r="AB12" s="34"/>
      <c r="AC12" s="34"/>
    </row>
    <row r="13" spans="1:29" ht="12.75">
      <c r="A13" s="114" t="s">
        <v>9</v>
      </c>
      <c r="B13" s="150">
        <v>3</v>
      </c>
      <c r="C13" s="115">
        <v>15</v>
      </c>
      <c r="D13" s="115">
        <v>640</v>
      </c>
      <c r="E13" s="116">
        <v>1.707699</v>
      </c>
      <c r="F13" s="115">
        <v>2</v>
      </c>
      <c r="G13" s="115">
        <v>6</v>
      </c>
      <c r="H13" s="115">
        <v>125</v>
      </c>
      <c r="I13" s="115">
        <v>71</v>
      </c>
      <c r="J13" s="115">
        <v>58</v>
      </c>
      <c r="K13" s="117">
        <f t="shared" si="4"/>
        <v>711</v>
      </c>
      <c r="L13" s="115">
        <f t="shared" si="5"/>
        <v>23</v>
      </c>
      <c r="M13" s="170">
        <f t="shared" si="0"/>
        <v>1.7567498721964467</v>
      </c>
      <c r="N13" s="170">
        <f t="shared" si="1"/>
        <v>33.96383086246464</v>
      </c>
      <c r="O13" s="118">
        <f t="shared" si="6"/>
        <v>8.783749360982233</v>
      </c>
      <c r="P13" s="118">
        <f t="shared" si="7"/>
        <v>13.468415686839425</v>
      </c>
      <c r="Q13" s="118">
        <f t="shared" si="8"/>
        <v>12.297249105375126</v>
      </c>
      <c r="R13" s="115">
        <f t="shared" si="2"/>
        <v>489.5476310520765</v>
      </c>
      <c r="S13" s="115">
        <f t="shared" si="3"/>
        <v>39.80952380952381</v>
      </c>
      <c r="T13" s="25"/>
      <c r="U13" s="76"/>
      <c r="V13" s="77"/>
      <c r="W13" s="25"/>
      <c r="Z13" s="4"/>
      <c r="AA13" s="13"/>
      <c r="AB13" s="13"/>
      <c r="AC13" s="13"/>
    </row>
    <row r="14" spans="1:29" s="18" customFormat="1" ht="12.75">
      <c r="A14" s="114" t="s">
        <v>78</v>
      </c>
      <c r="B14" s="150">
        <v>2</v>
      </c>
      <c r="C14" s="115">
        <v>6</v>
      </c>
      <c r="D14" s="115">
        <v>476</v>
      </c>
      <c r="E14" s="116">
        <v>1.869016</v>
      </c>
      <c r="F14" s="115">
        <v>72</v>
      </c>
      <c r="G14" s="115">
        <v>22</v>
      </c>
      <c r="H14" s="115">
        <v>505</v>
      </c>
      <c r="I14" s="115">
        <v>243</v>
      </c>
      <c r="J14" s="115">
        <v>66</v>
      </c>
      <c r="K14" s="117">
        <f t="shared" si="4"/>
        <v>719</v>
      </c>
      <c r="L14" s="115">
        <f t="shared" si="5"/>
        <v>100</v>
      </c>
      <c r="M14" s="170">
        <f t="shared" si="0"/>
        <v>1.0700817970525667</v>
      </c>
      <c r="N14" s="170">
        <f t="shared" si="1"/>
        <v>35.3126993027347</v>
      </c>
      <c r="O14" s="118">
        <f t="shared" si="6"/>
        <v>3.2102453911577</v>
      </c>
      <c r="P14" s="118">
        <f t="shared" si="7"/>
        <v>53.50408985262833</v>
      </c>
      <c r="Q14" s="118">
        <f t="shared" si="8"/>
        <v>14.981145158735934</v>
      </c>
      <c r="R14" s="115">
        <f t="shared" si="2"/>
        <v>654.8900597961708</v>
      </c>
      <c r="S14" s="115">
        <f t="shared" si="3"/>
        <v>43.714285714285715</v>
      </c>
      <c r="T14" s="25"/>
      <c r="U14" s="81"/>
      <c r="V14" s="77"/>
      <c r="W14" s="29"/>
      <c r="X14" s="16"/>
      <c r="Z14" s="26"/>
      <c r="AA14" s="34"/>
      <c r="AB14" s="34"/>
      <c r="AC14" s="34"/>
    </row>
    <row r="15" spans="1:29" ht="12.75">
      <c r="A15" s="114" t="s">
        <v>89</v>
      </c>
      <c r="B15" s="150">
        <v>0</v>
      </c>
      <c r="C15" s="115">
        <v>0</v>
      </c>
      <c r="D15" s="115">
        <v>0</v>
      </c>
      <c r="E15" s="116">
        <v>0.002376</v>
      </c>
      <c r="F15" s="115">
        <v>0</v>
      </c>
      <c r="G15" s="115">
        <v>0</v>
      </c>
      <c r="H15" s="115">
        <v>0</v>
      </c>
      <c r="I15" s="115">
        <v>0</v>
      </c>
      <c r="J15" s="115">
        <v>0</v>
      </c>
      <c r="K15" s="117">
        <f t="shared" si="4"/>
        <v>0</v>
      </c>
      <c r="L15" s="115">
        <f t="shared" si="5"/>
        <v>0</v>
      </c>
      <c r="M15" s="170">
        <f t="shared" si="0"/>
        <v>0</v>
      </c>
      <c r="N15" s="170">
        <f t="shared" si="1"/>
        <v>0</v>
      </c>
      <c r="O15" s="118">
        <f t="shared" si="6"/>
        <v>0</v>
      </c>
      <c r="P15" s="118">
        <f t="shared" si="7"/>
        <v>0</v>
      </c>
      <c r="Q15" s="118">
        <f t="shared" si="8"/>
        <v>0</v>
      </c>
      <c r="R15" s="115">
        <f t="shared" si="2"/>
        <v>0</v>
      </c>
      <c r="S15" s="115">
        <f t="shared" si="3"/>
        <v>0</v>
      </c>
      <c r="T15" s="25"/>
      <c r="U15" s="76"/>
      <c r="V15" s="77"/>
      <c r="W15" s="29"/>
      <c r="X15" s="16"/>
      <c r="Z15" s="4"/>
      <c r="AA15" s="13"/>
      <c r="AB15" s="13"/>
      <c r="AC15" s="13"/>
    </row>
    <row r="16" spans="1:29" s="18" customFormat="1" ht="12.75">
      <c r="A16" s="114" t="s">
        <v>8</v>
      </c>
      <c r="B16" s="150">
        <v>2</v>
      </c>
      <c r="C16" s="115">
        <v>12</v>
      </c>
      <c r="D16" s="115">
        <v>176</v>
      </c>
      <c r="E16" s="116">
        <v>1.71478</v>
      </c>
      <c r="F16" s="115">
        <v>101</v>
      </c>
      <c r="G16" s="115">
        <v>16</v>
      </c>
      <c r="H16" s="115">
        <v>380</v>
      </c>
      <c r="I16" s="115">
        <v>183</v>
      </c>
      <c r="J16" s="115">
        <v>38</v>
      </c>
      <c r="K16" s="117">
        <f t="shared" si="4"/>
        <v>359</v>
      </c>
      <c r="L16" s="115">
        <f t="shared" si="5"/>
        <v>129</v>
      </c>
      <c r="M16" s="170">
        <f t="shared" si="0"/>
        <v>1.1663303747419493</v>
      </c>
      <c r="N16" s="170">
        <f t="shared" si="1"/>
        <v>22.16027712009704</v>
      </c>
      <c r="O16" s="118">
        <f t="shared" si="6"/>
        <v>6.997982248451697</v>
      </c>
      <c r="P16" s="118">
        <f t="shared" si="7"/>
        <v>75.22830917085574</v>
      </c>
      <c r="Q16" s="118">
        <f t="shared" si="8"/>
        <v>16.328625246387293</v>
      </c>
      <c r="R16" s="115">
        <f t="shared" si="2"/>
        <v>430.9590734671503</v>
      </c>
      <c r="S16" s="115">
        <f t="shared" si="3"/>
        <v>26.392857142857142</v>
      </c>
      <c r="T16" s="25"/>
      <c r="U16" s="81"/>
      <c r="V16" s="77"/>
      <c r="W16" s="29"/>
      <c r="X16" s="16"/>
      <c r="Z16" s="26"/>
      <c r="AA16" s="34"/>
      <c r="AB16" s="34"/>
      <c r="AC16" s="34"/>
    </row>
    <row r="17" spans="1:29" ht="12.75">
      <c r="A17" s="114" t="s">
        <v>3</v>
      </c>
      <c r="B17" s="150">
        <v>11</v>
      </c>
      <c r="C17" s="115">
        <v>26</v>
      </c>
      <c r="D17" s="115">
        <v>1345</v>
      </c>
      <c r="E17" s="116">
        <v>2.584691</v>
      </c>
      <c r="F17" s="115">
        <v>0</v>
      </c>
      <c r="G17" s="115">
        <v>0</v>
      </c>
      <c r="H17" s="115">
        <v>0</v>
      </c>
      <c r="I17" s="115">
        <v>31</v>
      </c>
      <c r="J17" s="115">
        <v>78</v>
      </c>
      <c r="K17" s="117">
        <f t="shared" si="4"/>
        <v>1376</v>
      </c>
      <c r="L17" s="115">
        <f t="shared" si="5"/>
        <v>26</v>
      </c>
      <c r="M17" s="170">
        <f t="shared" si="0"/>
        <v>4.255827872654797</v>
      </c>
      <c r="N17" s="170">
        <f t="shared" si="1"/>
        <v>30.177688551552198</v>
      </c>
      <c r="O17" s="118">
        <f t="shared" si="6"/>
        <v>10.059229517184066</v>
      </c>
      <c r="P17" s="118">
        <f t="shared" si="7"/>
        <v>10.059229517184066</v>
      </c>
      <c r="Q17" s="118">
        <f t="shared" si="8"/>
        <v>10.059229517184066</v>
      </c>
      <c r="R17" s="115">
        <f t="shared" si="2"/>
        <v>532.3653775248183</v>
      </c>
      <c r="S17" s="115">
        <f t="shared" si="3"/>
        <v>52.92307692307692</v>
      </c>
      <c r="T17" s="25"/>
      <c r="U17" s="76"/>
      <c r="V17" s="77"/>
      <c r="W17" s="29"/>
      <c r="X17" s="16"/>
      <c r="Z17" s="4"/>
      <c r="AA17" s="13"/>
      <c r="AB17" s="13"/>
      <c r="AC17" s="13"/>
    </row>
    <row r="18" spans="1:29" s="18" customFormat="1" ht="12.75">
      <c r="A18" s="114" t="s">
        <v>4</v>
      </c>
      <c r="B18" s="150">
        <v>2</v>
      </c>
      <c r="C18" s="115">
        <v>0</v>
      </c>
      <c r="D18" s="115">
        <v>0</v>
      </c>
      <c r="E18" s="116">
        <v>0.730925</v>
      </c>
      <c r="F18" s="115">
        <v>3</v>
      </c>
      <c r="G18" s="115">
        <v>6</v>
      </c>
      <c r="H18" s="115">
        <v>136</v>
      </c>
      <c r="I18" s="115">
        <v>0</v>
      </c>
      <c r="J18" s="115">
        <v>20</v>
      </c>
      <c r="K18" s="117">
        <f t="shared" si="4"/>
        <v>0</v>
      </c>
      <c r="L18" s="115">
        <f t="shared" si="5"/>
        <v>9</v>
      </c>
      <c r="M18" s="170">
        <f t="shared" si="0"/>
        <v>2.7362588500872183</v>
      </c>
      <c r="N18" s="170">
        <f t="shared" si="1"/>
        <v>27.36258850087218</v>
      </c>
      <c r="O18" s="118">
        <f t="shared" si="6"/>
        <v>0</v>
      </c>
      <c r="P18" s="118">
        <f t="shared" si="7"/>
        <v>12.313164825392482</v>
      </c>
      <c r="Q18" s="118">
        <f t="shared" si="8"/>
        <v>8.208776550261653</v>
      </c>
      <c r="R18" s="115">
        <f t="shared" si="2"/>
        <v>186.06560180593084</v>
      </c>
      <c r="S18" s="115">
        <f t="shared" si="3"/>
        <v>22.666666666666668</v>
      </c>
      <c r="T18" s="25"/>
      <c r="U18" s="81"/>
      <c r="V18" s="77"/>
      <c r="W18" s="29"/>
      <c r="X18" s="16"/>
      <c r="Z18" s="26"/>
      <c r="AA18" s="34"/>
      <c r="AB18" s="34"/>
      <c r="AC18" s="34"/>
    </row>
    <row r="19" spans="1:24" ht="12.75">
      <c r="A19" s="141" t="s">
        <v>6</v>
      </c>
      <c r="B19" s="151">
        <v>2</v>
      </c>
      <c r="C19" s="142">
        <v>1</v>
      </c>
      <c r="D19" s="142">
        <v>25</v>
      </c>
      <c r="E19" s="143">
        <v>1.209625</v>
      </c>
      <c r="F19" s="142">
        <v>5</v>
      </c>
      <c r="G19" s="142">
        <v>7</v>
      </c>
      <c r="H19" s="142">
        <v>487</v>
      </c>
      <c r="I19" s="142">
        <v>128</v>
      </c>
      <c r="J19" s="142">
        <v>40</v>
      </c>
      <c r="K19" s="144">
        <f t="shared" si="4"/>
        <v>153</v>
      </c>
      <c r="L19" s="142">
        <f t="shared" si="5"/>
        <v>13</v>
      </c>
      <c r="M19" s="171">
        <f t="shared" si="0"/>
        <v>1.6534049808825049</v>
      </c>
      <c r="N19" s="171">
        <f t="shared" si="1"/>
        <v>33.0680996176501</v>
      </c>
      <c r="O19" s="145">
        <f t="shared" si="6"/>
        <v>0.8267024904412524</v>
      </c>
      <c r="P19" s="145">
        <f t="shared" si="7"/>
        <v>10.747132375736282</v>
      </c>
      <c r="Q19" s="145">
        <f t="shared" si="8"/>
        <v>6.6136199235300195</v>
      </c>
      <c r="R19" s="142">
        <f t="shared" si="2"/>
        <v>529.0895938824016</v>
      </c>
      <c r="S19" s="142">
        <f t="shared" si="3"/>
        <v>80</v>
      </c>
      <c r="U19" s="76"/>
      <c r="V19" s="81"/>
      <c r="W19" s="29"/>
      <c r="X19" s="16"/>
    </row>
    <row r="20" spans="1:24" ht="12.75">
      <c r="A20" s="113"/>
      <c r="B20" s="152"/>
      <c r="C20" s="119"/>
      <c r="D20" s="119"/>
      <c r="E20" s="120"/>
      <c r="F20" s="115"/>
      <c r="G20" s="115"/>
      <c r="H20" s="115"/>
      <c r="I20" s="115"/>
      <c r="J20" s="115"/>
      <c r="K20" s="117"/>
      <c r="L20" s="115"/>
      <c r="M20" s="170"/>
      <c r="N20" s="170"/>
      <c r="O20" s="118"/>
      <c r="P20" s="118"/>
      <c r="Q20" s="118"/>
      <c r="R20" s="115"/>
      <c r="S20" s="115"/>
      <c r="W20" s="29"/>
      <c r="X20" s="16"/>
    </row>
    <row r="21" spans="1:24" ht="13.5" thickBot="1">
      <c r="A21" s="135" t="s">
        <v>88</v>
      </c>
      <c r="B21" s="121">
        <f aca="true" t="shared" si="9" ref="B21:J21">SUM(B6:B20)</f>
        <v>31</v>
      </c>
      <c r="C21" s="121">
        <f t="shared" si="9"/>
        <v>93</v>
      </c>
      <c r="D21" s="121">
        <f t="shared" si="9"/>
        <v>3854</v>
      </c>
      <c r="E21" s="122">
        <f t="shared" si="9"/>
        <v>13.735889999999998</v>
      </c>
      <c r="F21" s="121">
        <f t="shared" si="9"/>
        <v>278</v>
      </c>
      <c r="G21" s="121">
        <f t="shared" si="9"/>
        <v>88</v>
      </c>
      <c r="H21" s="121">
        <f t="shared" si="9"/>
        <v>2717</v>
      </c>
      <c r="I21" s="121">
        <f t="shared" si="9"/>
        <v>1010</v>
      </c>
      <c r="J21" s="121">
        <f t="shared" si="9"/>
        <v>415</v>
      </c>
      <c r="K21" s="121">
        <f>D21+I21</f>
        <v>4864</v>
      </c>
      <c r="L21" s="121">
        <f>C21+G21+F21</f>
        <v>459</v>
      </c>
      <c r="M21" s="172">
        <f>IF(B21="",0,B21/E21)</f>
        <v>2.256861404685099</v>
      </c>
      <c r="N21" s="172">
        <f>IF(J21="",0,J21/E21)</f>
        <v>30.21282203046181</v>
      </c>
      <c r="O21" s="123">
        <f>IF(E21="",0,C21/E21)</f>
        <v>6.770584214055297</v>
      </c>
      <c r="P21" s="123">
        <f>IF(E21="",0,L21/E21)</f>
        <v>33.416109185498726</v>
      </c>
      <c r="Q21" s="123">
        <f>IF(E21="",0,(C21+G21)/E21)</f>
        <v>13.177158524129126</v>
      </c>
      <c r="R21" s="121">
        <f t="shared" si="2"/>
        <v>551.9118164167012</v>
      </c>
      <c r="S21" s="121">
        <f t="shared" si="3"/>
        <v>41.88397790055249</v>
      </c>
      <c r="W21" s="29"/>
      <c r="X21" s="16"/>
    </row>
    <row r="22" spans="1:24" ht="12.75">
      <c r="A22" s="38"/>
      <c r="B22" s="38"/>
      <c r="C22" s="40"/>
      <c r="D22" s="40"/>
      <c r="E22" s="106"/>
      <c r="F22" s="42"/>
      <c r="G22" s="42"/>
      <c r="H22" s="42"/>
      <c r="I22" s="42"/>
      <c r="J22" s="42"/>
      <c r="K22" s="42"/>
      <c r="L22" s="41"/>
      <c r="M22" s="173"/>
      <c r="N22" s="173"/>
      <c r="O22" s="98"/>
      <c r="P22" s="50"/>
      <c r="Q22" s="50"/>
      <c r="R22" s="41"/>
      <c r="S22" s="41"/>
      <c r="W22" s="16"/>
      <c r="X22" s="16"/>
    </row>
    <row r="23" spans="1:19" ht="12.75">
      <c r="A23" s="16"/>
      <c r="B23" s="16"/>
      <c r="C23" s="101"/>
      <c r="D23" s="101"/>
      <c r="E23" s="107"/>
      <c r="F23" s="101"/>
      <c r="G23" s="101"/>
      <c r="H23" s="101"/>
      <c r="I23" s="101"/>
      <c r="J23" s="101"/>
      <c r="K23" s="101"/>
      <c r="L23" s="101"/>
      <c r="M23" s="174"/>
      <c r="N23" s="174"/>
      <c r="O23" s="112"/>
      <c r="P23" s="112"/>
      <c r="Q23" s="112"/>
      <c r="R23" s="101"/>
      <c r="S23" s="101"/>
    </row>
    <row r="24" spans="3:19" ht="12.75">
      <c r="C24" s="101"/>
      <c r="D24" s="101"/>
      <c r="E24" s="107"/>
      <c r="F24" s="101"/>
      <c r="G24" s="101"/>
      <c r="H24" s="101"/>
      <c r="I24" s="101"/>
      <c r="J24" s="101"/>
      <c r="K24" s="101"/>
      <c r="L24" s="101"/>
      <c r="M24" s="174"/>
      <c r="N24" s="174"/>
      <c r="O24" s="112"/>
      <c r="P24" s="112"/>
      <c r="Q24" s="112"/>
      <c r="R24" s="101"/>
      <c r="S24" s="101"/>
    </row>
    <row r="25" spans="3:11" ht="12.75">
      <c r="C25" s="102"/>
      <c r="D25" s="102"/>
      <c r="E25" s="108"/>
      <c r="J25" s="101"/>
      <c r="K25" s="101"/>
    </row>
    <row r="26" spans="1:11" ht="12.75">
      <c r="A26" s="5"/>
      <c r="B26" s="5"/>
      <c r="C26" s="103"/>
      <c r="D26" s="103"/>
      <c r="E26" s="109"/>
      <c r="J26" s="101"/>
      <c r="K26" s="101"/>
    </row>
    <row r="27" spans="1:11" ht="12.75">
      <c r="A27" s="5"/>
      <c r="B27" s="5"/>
      <c r="C27" s="102"/>
      <c r="D27" s="102"/>
      <c r="E27" s="108"/>
      <c r="J27" s="101"/>
      <c r="K27" s="101"/>
    </row>
    <row r="28" spans="1:11" ht="12.75">
      <c r="A28" s="5"/>
      <c r="B28" s="5"/>
      <c r="C28" s="102"/>
      <c r="D28" s="102"/>
      <c r="E28" s="108"/>
      <c r="J28" s="101"/>
      <c r="K28" s="101"/>
    </row>
    <row r="29" spans="1:11" ht="12.75">
      <c r="A29" s="7"/>
      <c r="B29" s="7"/>
      <c r="C29" s="102"/>
      <c r="D29" s="102"/>
      <c r="E29" s="108"/>
      <c r="J29" s="101"/>
      <c r="K29" s="101"/>
    </row>
    <row r="30" spans="1:11" ht="12.75">
      <c r="A30" s="70"/>
      <c r="B30" s="70"/>
      <c r="J30" s="101"/>
      <c r="K30" s="101"/>
    </row>
    <row r="31" spans="1:11" ht="12.75">
      <c r="A31" s="70"/>
      <c r="B31" s="70"/>
      <c r="J31" s="101"/>
      <c r="K31" s="101"/>
    </row>
    <row r="32" spans="1:11" ht="12.75">
      <c r="A32" s="70"/>
      <c r="B32" s="70"/>
      <c r="J32" s="101"/>
      <c r="K32" s="101"/>
    </row>
    <row r="33" spans="1:5" ht="12.75">
      <c r="A33" s="70"/>
      <c r="B33" s="70"/>
      <c r="C33" s="102"/>
      <c r="D33" s="102"/>
      <c r="E33" s="108"/>
    </row>
    <row r="34" spans="1:5" ht="12.75">
      <c r="A34" s="70"/>
      <c r="B34" s="70"/>
      <c r="C34" s="102"/>
      <c r="D34" s="102"/>
      <c r="E34" s="108"/>
    </row>
    <row r="35" spans="1:2" ht="12.75">
      <c r="A35" s="70"/>
      <c r="B35" s="70"/>
    </row>
    <row r="36" spans="1:5" ht="12.75">
      <c r="A36" s="78"/>
      <c r="B36" s="78"/>
      <c r="C36" s="102"/>
      <c r="D36" s="102"/>
      <c r="E36" s="108"/>
    </row>
    <row r="37" spans="1:2" ht="12.75">
      <c r="A37" s="70"/>
      <c r="B37" s="70"/>
    </row>
    <row r="38" spans="1:2" ht="12.75">
      <c r="A38" s="79"/>
      <c r="B38" s="79"/>
    </row>
    <row r="39" spans="1:5" ht="12.75">
      <c r="A39" s="70"/>
      <c r="B39" s="70"/>
      <c r="C39" s="102"/>
      <c r="D39" s="102"/>
      <c r="E39" s="108"/>
    </row>
    <row r="40" spans="1:5" ht="12.75">
      <c r="A40" s="70"/>
      <c r="B40" s="70"/>
      <c r="C40" s="102"/>
      <c r="D40" s="102"/>
      <c r="E40" s="108"/>
    </row>
    <row r="41" spans="1:5" ht="12.75">
      <c r="A41" s="70"/>
      <c r="B41" s="70"/>
      <c r="C41" s="102"/>
      <c r="D41" s="102"/>
      <c r="E41" s="108"/>
    </row>
    <row r="42" spans="1:5" ht="12.75">
      <c r="A42" s="70"/>
      <c r="B42" s="70"/>
      <c r="C42" s="102"/>
      <c r="D42" s="102"/>
      <c r="E42" s="108"/>
    </row>
    <row r="43" spans="1:5" ht="12.75">
      <c r="A43" s="79"/>
      <c r="B43" s="79"/>
      <c r="C43" s="102"/>
      <c r="D43" s="102"/>
      <c r="E43" s="108"/>
    </row>
    <row r="44" spans="1:2" ht="12.75">
      <c r="A44" s="79"/>
      <c r="B44" s="79"/>
    </row>
    <row r="45" spans="1:2" ht="12.75">
      <c r="A45" s="70"/>
      <c r="B45" s="70"/>
    </row>
    <row r="46" spans="1:5" ht="12.75">
      <c r="A46" s="70"/>
      <c r="B46" s="70"/>
      <c r="C46" s="102"/>
      <c r="D46" s="102"/>
      <c r="E46" s="108"/>
    </row>
    <row r="47" spans="1:2" ht="12.75">
      <c r="A47" s="79"/>
      <c r="B47" s="79"/>
    </row>
    <row r="48" spans="1:2" ht="12.75">
      <c r="A48" s="70"/>
      <c r="B48" s="70"/>
    </row>
    <row r="49" spans="1:5" ht="12.75">
      <c r="A49" s="70"/>
      <c r="B49" s="70"/>
      <c r="C49" s="102"/>
      <c r="D49" s="102"/>
      <c r="E49" s="108"/>
    </row>
    <row r="50" spans="1:2" ht="12.75">
      <c r="A50" s="70"/>
      <c r="B50" s="70"/>
    </row>
    <row r="51" spans="1:2" ht="12.75">
      <c r="A51" s="70"/>
      <c r="B51" s="70"/>
    </row>
    <row r="52" spans="1:5" ht="12.75">
      <c r="A52" s="70"/>
      <c r="B52" s="70"/>
      <c r="C52" s="102"/>
      <c r="D52" s="102"/>
      <c r="E52" s="108"/>
    </row>
    <row r="53" spans="1:5" ht="12.75">
      <c r="A53" s="70"/>
      <c r="B53" s="70"/>
      <c r="C53" s="102"/>
      <c r="D53" s="102"/>
      <c r="E53" s="108"/>
    </row>
    <row r="54" spans="1:2" ht="12.75">
      <c r="A54" s="70"/>
      <c r="B54" s="70"/>
    </row>
    <row r="55" spans="1:2" ht="12.75">
      <c r="A55" s="70"/>
      <c r="B55" s="70"/>
    </row>
    <row r="56" spans="1:5" ht="12.75">
      <c r="A56" s="78"/>
      <c r="B56" s="78"/>
      <c r="C56" s="102"/>
      <c r="D56" s="102"/>
      <c r="E56" s="108"/>
    </row>
    <row r="57" spans="1:5" ht="12.75">
      <c r="A57" s="70"/>
      <c r="B57" s="70"/>
      <c r="C57" s="102"/>
      <c r="D57" s="102"/>
      <c r="E57" s="108"/>
    </row>
    <row r="58" spans="1:5" ht="12.75">
      <c r="A58" s="79"/>
      <c r="B58" s="79"/>
      <c r="C58" s="102"/>
      <c r="D58" s="102"/>
      <c r="E58" s="108"/>
    </row>
    <row r="59" spans="1:2" ht="12.75">
      <c r="A59" s="78"/>
      <c r="B59" s="78"/>
    </row>
    <row r="60" spans="1:5" ht="12.75">
      <c r="A60" s="70"/>
      <c r="B60" s="70"/>
      <c r="C60" s="102"/>
      <c r="D60" s="102"/>
      <c r="E60" s="108"/>
    </row>
    <row r="61" spans="1:2" ht="12.75">
      <c r="A61" s="79"/>
      <c r="B61" s="79"/>
    </row>
    <row r="62" spans="1:2" ht="12.75">
      <c r="A62" s="78"/>
      <c r="B62" s="78"/>
    </row>
    <row r="63" spans="1:5" ht="12.75">
      <c r="A63" s="70"/>
      <c r="B63" s="70"/>
      <c r="C63" s="102"/>
      <c r="D63" s="102"/>
      <c r="E63" s="108"/>
    </row>
    <row r="64" spans="1:2" ht="12.75">
      <c r="A64" s="79"/>
      <c r="B64" s="79"/>
    </row>
    <row r="65" spans="1:5" ht="12.75">
      <c r="A65" s="70"/>
      <c r="B65" s="70"/>
      <c r="C65" s="102"/>
      <c r="D65" s="102"/>
      <c r="E65" s="108"/>
    </row>
    <row r="66" spans="1:5" ht="12.75">
      <c r="A66" s="79"/>
      <c r="B66" s="79"/>
      <c r="C66" s="102"/>
      <c r="D66" s="102"/>
      <c r="E66" s="108"/>
    </row>
    <row r="67" spans="1:2" ht="12.75">
      <c r="A67" s="79"/>
      <c r="B67" s="79"/>
    </row>
    <row r="68" spans="1:2" ht="12.75">
      <c r="A68" s="70"/>
      <c r="B68" s="70"/>
    </row>
    <row r="69" spans="1:2" ht="12.75">
      <c r="A69" s="70"/>
      <c r="B69" s="70"/>
    </row>
    <row r="70" spans="1:2" ht="12.75">
      <c r="A70" s="79"/>
      <c r="B70" s="79"/>
    </row>
    <row r="71" spans="1:2" ht="12.75">
      <c r="A71" s="70"/>
      <c r="B71" s="70"/>
    </row>
    <row r="72" spans="1:2" ht="12.75">
      <c r="A72" s="79"/>
      <c r="B72" s="79"/>
    </row>
    <row r="152" spans="3:5" ht="12.75">
      <c r="C152" s="102"/>
      <c r="D152" s="102"/>
      <c r="E152" s="108"/>
    </row>
    <row r="153" spans="1:5" ht="12.75">
      <c r="A153" s="5"/>
      <c r="B153" s="5"/>
      <c r="C153" s="103"/>
      <c r="D153" s="103"/>
      <c r="E153" s="109"/>
    </row>
    <row r="154" spans="1:5" ht="12.75">
      <c r="A154" s="5"/>
      <c r="B154" s="5"/>
      <c r="C154" s="102"/>
      <c r="D154" s="102"/>
      <c r="E154" s="108"/>
    </row>
    <row r="155" spans="1:5" ht="12.75">
      <c r="A155" s="5"/>
      <c r="B155" s="5"/>
      <c r="C155" s="102"/>
      <c r="D155" s="102"/>
      <c r="E155" s="108"/>
    </row>
    <row r="156" spans="3:5" ht="12.75">
      <c r="C156" s="102"/>
      <c r="D156" s="102"/>
      <c r="E156" s="108"/>
    </row>
    <row r="157" spans="1:2" ht="12.75">
      <c r="A157" s="79"/>
      <c r="B157" s="79"/>
    </row>
    <row r="158" spans="1:2" ht="12.75">
      <c r="A158" s="70"/>
      <c r="B158" s="70"/>
    </row>
    <row r="159" spans="1:2" ht="12.75">
      <c r="A159" s="70"/>
      <c r="B159" s="70"/>
    </row>
    <row r="160" spans="1:2" ht="12.75">
      <c r="A160" s="79"/>
      <c r="B160" s="79"/>
    </row>
    <row r="161" spans="1:2" ht="12.75">
      <c r="A161" s="79"/>
      <c r="B161" s="79"/>
    </row>
    <row r="162" spans="1:2" ht="12.75">
      <c r="A162" s="70"/>
      <c r="B162" s="70"/>
    </row>
    <row r="163" spans="1:2" ht="12.75">
      <c r="A163" s="70"/>
      <c r="B163" s="70"/>
    </row>
    <row r="164" spans="1:2" ht="12.75">
      <c r="A164" s="70"/>
      <c r="B164" s="70"/>
    </row>
    <row r="165" spans="1:2" ht="12.75">
      <c r="A165" s="70"/>
      <c r="B165" s="70"/>
    </row>
    <row r="166" spans="1:2" ht="12.75">
      <c r="A166" s="70"/>
      <c r="B166" s="70"/>
    </row>
    <row r="167" spans="1:2" ht="12.75">
      <c r="A167" s="70"/>
      <c r="B167" s="70"/>
    </row>
    <row r="168" spans="1:2" ht="12.75">
      <c r="A168" s="70"/>
      <c r="B168" s="70"/>
    </row>
    <row r="169" spans="1:2" ht="12.75">
      <c r="A169" s="70"/>
      <c r="B169" s="70"/>
    </row>
    <row r="170" spans="1:2" ht="12.75">
      <c r="A170" s="70"/>
      <c r="B170" s="70"/>
    </row>
    <row r="171" spans="1:2" ht="12.75">
      <c r="A171" s="70"/>
      <c r="B171" s="70"/>
    </row>
    <row r="172" spans="1:2" ht="12.75">
      <c r="A172" s="70"/>
      <c r="B172" s="70"/>
    </row>
    <row r="173" spans="1:2" ht="12.75">
      <c r="A173" s="70"/>
      <c r="B173" s="70"/>
    </row>
    <row r="174" spans="1:2" ht="12.75">
      <c r="A174" s="78"/>
      <c r="B174" s="78"/>
    </row>
    <row r="175" spans="1:2" ht="12.75">
      <c r="A175" s="79"/>
      <c r="B175" s="79"/>
    </row>
    <row r="176" spans="1:2" ht="12.75">
      <c r="A176" s="70"/>
      <c r="B176" s="70"/>
    </row>
    <row r="177" spans="1:2" ht="12.75">
      <c r="A177" s="70"/>
      <c r="B177" s="70"/>
    </row>
    <row r="178" spans="1:2" ht="12.75">
      <c r="A178" s="70"/>
      <c r="B178" s="70"/>
    </row>
    <row r="179" spans="1:2" ht="12.75">
      <c r="A179" s="70"/>
      <c r="B179" s="70"/>
    </row>
    <row r="180" spans="1:2" ht="12.75">
      <c r="A180" s="70"/>
      <c r="B180" s="70"/>
    </row>
    <row r="181" spans="1:2" ht="12.75">
      <c r="A181" s="70"/>
      <c r="B181" s="70"/>
    </row>
    <row r="182" spans="1:2" ht="12.75">
      <c r="A182" s="78"/>
      <c r="B182" s="78"/>
    </row>
    <row r="183" spans="1:2" ht="12.75">
      <c r="A183" s="79"/>
      <c r="B183" s="79"/>
    </row>
    <row r="184" spans="1:2" ht="12.75">
      <c r="A184" s="70"/>
      <c r="B184" s="70"/>
    </row>
    <row r="185" spans="1:2" ht="12.75">
      <c r="A185" s="78"/>
      <c r="B185" s="78"/>
    </row>
    <row r="186" spans="1:2" ht="12.75">
      <c r="A186" s="70"/>
      <c r="B186" s="70"/>
    </row>
    <row r="187" spans="1:2" ht="12.75">
      <c r="A187" s="78"/>
      <c r="B187" s="78"/>
    </row>
    <row r="188" spans="1:2" ht="12.75">
      <c r="A188" s="79"/>
      <c r="B188" s="79"/>
    </row>
    <row r="189" spans="1:2" ht="12.75">
      <c r="A189" s="70"/>
      <c r="B189" s="70"/>
    </row>
    <row r="190" spans="1:2" ht="12.75">
      <c r="A190" s="70"/>
      <c r="B190" s="70"/>
    </row>
    <row r="191" spans="1:2" ht="12.75">
      <c r="A191" s="79"/>
      <c r="B191" s="79"/>
    </row>
    <row r="192" spans="1:2" ht="12.75">
      <c r="A192" s="70"/>
      <c r="B192" s="70"/>
    </row>
    <row r="193" spans="1:2" ht="12.75">
      <c r="A193" s="79"/>
      <c r="B193" s="79"/>
    </row>
    <row r="194" spans="1:2" ht="12.75">
      <c r="A194" s="79"/>
      <c r="B194" s="79"/>
    </row>
    <row r="195" spans="1:2" ht="12.75">
      <c r="A195" s="70"/>
      <c r="B195" s="70"/>
    </row>
    <row r="196" spans="1:2" ht="12.75">
      <c r="A196" s="79"/>
      <c r="B196" s="79"/>
    </row>
    <row r="197" spans="1:2" ht="12.75">
      <c r="A197" s="79"/>
      <c r="B197" s="79"/>
    </row>
    <row r="198" spans="1:2" ht="12.75">
      <c r="A198" s="70"/>
      <c r="B198" s="70"/>
    </row>
    <row r="199" spans="1:2" ht="12.75">
      <c r="A199" s="70"/>
      <c r="B199" s="70"/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C21:J21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G151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39.28125" style="0" customWidth="1"/>
    <col min="2" max="3" width="10.421875" style="0" customWidth="1"/>
    <col min="4" max="4" width="10.8515625" style="0" customWidth="1"/>
    <col min="6" max="7" width="10.57421875" style="0" customWidth="1"/>
    <col min="9" max="9" width="11.57421875" style="0" customWidth="1"/>
    <col min="20" max="20" width="25.28125" style="0" customWidth="1"/>
    <col min="24" max="25" width="10.140625" style="0" customWidth="1"/>
    <col min="26" max="26" width="10.00390625" style="0" customWidth="1"/>
    <col min="28" max="28" width="9.421875" style="0" customWidth="1"/>
    <col min="30" max="30" width="13.421875" style="0" customWidth="1"/>
    <col min="31" max="31" width="10.57421875" style="0" customWidth="1"/>
    <col min="33" max="34" width="10.57421875" style="0" customWidth="1"/>
    <col min="35" max="35" width="10.00390625" style="0" customWidth="1"/>
    <col min="36" max="36" width="12.8515625" style="0" customWidth="1"/>
    <col min="57" max="57" width="17.57421875" style="0" customWidth="1"/>
    <col min="58" max="58" width="16.28125" style="0" customWidth="1"/>
  </cols>
  <sheetData>
    <row r="1" s="14" customFormat="1" ht="12.75"/>
    <row r="2" spans="1:82" ht="12.75">
      <c r="A2" s="6"/>
      <c r="B2" s="6"/>
      <c r="C2" s="30"/>
      <c r="D2" s="16"/>
      <c r="E2" s="25"/>
      <c r="F2" s="26"/>
      <c r="G2" s="26"/>
      <c r="H2" s="26"/>
      <c r="I2" s="25"/>
      <c r="J2" s="21"/>
      <c r="K2" s="26"/>
      <c r="L2" s="31"/>
      <c r="M2" s="27"/>
      <c r="N2" s="27"/>
      <c r="O2" s="27"/>
      <c r="P2" s="27"/>
      <c r="Q2" s="27"/>
      <c r="R2" s="27"/>
      <c r="S2" s="27"/>
      <c r="T2" s="27"/>
      <c r="U2" s="27"/>
      <c r="V2" s="21"/>
      <c r="W2" s="28"/>
      <c r="X2" s="21"/>
      <c r="Y2" s="32"/>
      <c r="Z2" s="31"/>
      <c r="AA2" s="26"/>
      <c r="AB2" s="31"/>
      <c r="AC2" s="31"/>
      <c r="AD2" s="31"/>
      <c r="AE2" s="26"/>
      <c r="AF2" s="26"/>
      <c r="AG2" s="26"/>
      <c r="AH2" s="26"/>
      <c r="AI2" s="16"/>
      <c r="BX2" s="23"/>
      <c r="BY2" s="17"/>
      <c r="CA2" s="13"/>
      <c r="CD2" s="13"/>
    </row>
    <row r="3" spans="4:85" ht="12.75">
      <c r="D3" s="16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23"/>
      <c r="BZ3" s="23"/>
      <c r="CA3" s="33"/>
      <c r="CB3" s="18"/>
      <c r="CC3" s="23"/>
      <c r="CD3" s="34"/>
      <c r="CE3" s="18"/>
      <c r="CF3" s="18"/>
      <c r="CG3" s="18"/>
    </row>
    <row r="4" spans="3:85" ht="12.75">
      <c r="C4" s="10" t="s">
        <v>16</v>
      </c>
      <c r="D4" s="10" t="s">
        <v>16</v>
      </c>
      <c r="E4" s="10" t="s">
        <v>16</v>
      </c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</row>
    <row r="5" spans="1:85" ht="12.75">
      <c r="A5" s="5" t="s">
        <v>7</v>
      </c>
      <c r="B5" s="5"/>
      <c r="C5" s="22" t="s">
        <v>69</v>
      </c>
      <c r="D5" s="22" t="s">
        <v>61</v>
      </c>
      <c r="E5" s="10" t="s">
        <v>27</v>
      </c>
      <c r="Q5" s="2"/>
      <c r="R5" s="2"/>
      <c r="S5" s="2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</row>
    <row r="6" spans="1:19" ht="12.75">
      <c r="A6" s="35" t="s">
        <v>10</v>
      </c>
      <c r="B6" s="35"/>
      <c r="C6" s="36"/>
      <c r="D6" s="36">
        <v>19.935602546363917</v>
      </c>
      <c r="E6" s="36">
        <v>19.152711808341294</v>
      </c>
      <c r="Q6" s="11"/>
      <c r="R6" s="11"/>
      <c r="S6" s="11"/>
    </row>
    <row r="7" spans="1:19" ht="12.75">
      <c r="A7" s="35" t="s">
        <v>62</v>
      </c>
      <c r="B7" s="35"/>
      <c r="C7" s="37"/>
      <c r="D7" s="37">
        <v>14.9</v>
      </c>
      <c r="E7" s="37">
        <v>13.4</v>
      </c>
      <c r="Q7" s="12"/>
      <c r="R7" s="12"/>
      <c r="S7" s="12"/>
    </row>
    <row r="8" spans="1:19" ht="12.75">
      <c r="A8" s="35" t="s">
        <v>63</v>
      </c>
      <c r="B8" s="35"/>
      <c r="C8" s="37">
        <v>46.02300805230054</v>
      </c>
      <c r="D8" s="37">
        <v>40.73561904314018</v>
      </c>
      <c r="E8" s="37">
        <v>44.8</v>
      </c>
      <c r="Q8" s="12"/>
      <c r="R8" s="12"/>
      <c r="S8" s="12"/>
    </row>
    <row r="9" spans="1:19" ht="12.75">
      <c r="A9" s="6" t="str">
        <f>CONCATENATE('Jul-Sep'!C19," (",'Jul-Sep'!G19,")")</f>
        <v>Oaky North Underground (555)</v>
      </c>
      <c r="B9" s="6" t="str">
        <f>'Jul-Sep'!C19</f>
        <v>Oaky North Underground</v>
      </c>
      <c r="C9" s="12">
        <f>VLOOKUP($B9,'Jul-Sep'!$C$5:$S$20,14,FALSE)</f>
        <v>6.106292228827194</v>
      </c>
      <c r="D9" s="12" t="e">
        <f>VLOOKUP($B9,#REF!,14,FALSE)</f>
        <v>#REF!</v>
      </c>
      <c r="E9" s="12" t="e">
        <f>VLOOKUP($B9,#REF!,10,FALSE)</f>
        <v>#REF!</v>
      </c>
      <c r="F9" s="4"/>
      <c r="Q9" s="15"/>
      <c r="R9" s="15"/>
      <c r="S9" s="15"/>
    </row>
    <row r="10" spans="1:19" ht="12.75">
      <c r="A10" s="6" t="str">
        <f>CONCATENATE('Jul-Sep'!C10," (",'Jul-Sep'!G10,")")</f>
        <v>Cook (255)</v>
      </c>
      <c r="B10" s="6" t="str">
        <f>'Jul-Sep'!C10</f>
        <v>Cook</v>
      </c>
      <c r="C10" s="12">
        <f>VLOOKUP($B10,'Jul-Sep'!$C$5:$S$20,14,FALSE)</f>
        <v>159.18623994141947</v>
      </c>
      <c r="D10" s="12" t="e">
        <f>VLOOKUP($B10,#REF!,14,FALSE)</f>
        <v>#REF!</v>
      </c>
      <c r="E10" s="12" t="e">
        <f>VLOOKUP($B10,#REF!,10,FALSE)</f>
        <v>#REF!</v>
      </c>
      <c r="F10" s="4"/>
      <c r="Q10" s="15"/>
      <c r="R10" s="15"/>
      <c r="S10" s="15"/>
    </row>
    <row r="11" spans="1:19" ht="12.75">
      <c r="A11" s="6" t="str">
        <f>CONCATENATE('Jul-Sep'!C9," (",'Jul-Sep'!G9,")")</f>
        <v>Carborough Downs (Includes Prep Plant) (428)</v>
      </c>
      <c r="B11" s="6" t="str">
        <f>'Jul-Sep'!C9</f>
        <v>Carborough Downs (Includes Prep Plant)</v>
      </c>
      <c r="C11" s="12">
        <f>VLOOKUP($B11,'Jul-Sep'!$C$5:$S$20,14,FALSE)</f>
        <v>57.594148434519056</v>
      </c>
      <c r="D11" s="12" t="e">
        <f>VLOOKUP($B11,#REF!,14,FALSE)</f>
        <v>#REF!</v>
      </c>
      <c r="E11" s="12" t="e">
        <f>VLOOKUP($B11,#REF!,10,FALSE)</f>
        <v>#REF!</v>
      </c>
      <c r="F11" s="4"/>
      <c r="Q11" s="15"/>
      <c r="R11" s="15"/>
      <c r="S11" s="15"/>
    </row>
    <row r="12" spans="1:19" ht="12.75">
      <c r="A12" s="6" t="str">
        <f>CONCATENATE('Jul-Sep'!C8," (",'Jul-Sep'!G8,")")</f>
        <v>Bundoora (22)</v>
      </c>
      <c r="B12" s="6" t="str">
        <f>'Jul-Sep'!C8</f>
        <v>Bundoora</v>
      </c>
      <c r="C12" s="12">
        <f>VLOOKUP($B12,'Jul-Sep'!$C$5:$S$20,14,FALSE)</f>
        <v>0</v>
      </c>
      <c r="D12" s="12" t="e">
        <f>VLOOKUP($B12,#REF!,14,FALSE)</f>
        <v>#REF!</v>
      </c>
      <c r="E12" s="12" t="e">
        <f>VLOOKUP($B12,#REF!,10,FALSE)</f>
        <v>#REF!</v>
      </c>
      <c r="F12" s="4"/>
      <c r="Q12" s="15"/>
      <c r="R12" s="15"/>
      <c r="S12" s="15"/>
    </row>
    <row r="13" spans="1:19" ht="12.75">
      <c r="A13" s="6" t="str">
        <f>CONCATENATE('Jul-Sep'!C16," (",'Jul-Sep'!G16,")")</f>
        <v>Newlands Northern Underground (364)</v>
      </c>
      <c r="B13" s="6" t="str">
        <f>'Jul-Sep'!C16</f>
        <v>Newlands Northern Underground</v>
      </c>
      <c r="C13" s="12">
        <f>VLOOKUP($B13,'Jul-Sep'!$C$5:$S$20,14,FALSE)</f>
        <v>17.21155583859003</v>
      </c>
      <c r="D13" s="12" t="e">
        <f>VLOOKUP($B13,#REF!,14,FALSE)</f>
        <v>#REF!</v>
      </c>
      <c r="E13" s="12" t="e">
        <f>VLOOKUP($B13,#REF!,10,FALSE)</f>
        <v>#REF!</v>
      </c>
      <c r="F13" s="4"/>
      <c r="Q13" s="15"/>
      <c r="R13" s="15"/>
      <c r="S13" s="15"/>
    </row>
    <row r="14" spans="1:19" ht="12.75">
      <c r="A14" s="6" t="str">
        <f>CONCATENATE('Jul-Sep'!C7," (",'Jul-Sep'!G7,")")</f>
        <v>Broadmeadow - G.E.Adit (565)</v>
      </c>
      <c r="B14" s="6" t="str">
        <f>'Jul-Sep'!C7</f>
        <v>Broadmeadow - G.E.Adit</v>
      </c>
      <c r="C14" s="12">
        <f>VLOOKUP($B14,'Jul-Sep'!$C$5:$S$20,14,FALSE)</f>
        <v>24.486697601527972</v>
      </c>
      <c r="D14" s="12" t="e">
        <f>VLOOKUP($B14,#REF!,14,FALSE)</f>
        <v>#REF!</v>
      </c>
      <c r="E14" s="12" t="e">
        <f>VLOOKUP($B14,#REF!,10,FALSE)</f>
        <v>#REF!</v>
      </c>
      <c r="F14" s="4"/>
      <c r="Q14" s="15"/>
      <c r="R14" s="15"/>
      <c r="S14" s="15"/>
    </row>
    <row r="15" spans="1:19" ht="12.75">
      <c r="A15" s="6" t="str">
        <f>CONCATENATE('Jul-Sep'!C17," (",'Jul-Sep'!G17,")")</f>
        <v>North Goonyella No. 1 (620)</v>
      </c>
      <c r="B15" s="6" t="str">
        <f>'Jul-Sep'!C17</f>
        <v>North Goonyella No. 1</v>
      </c>
      <c r="C15" s="12">
        <f>VLOOKUP($B15,'Jul-Sep'!$C$5:$S$20,14,FALSE)</f>
        <v>18.889879558127937</v>
      </c>
      <c r="D15" s="12" t="e">
        <f>VLOOKUP($B15,#REF!,14,FALSE)</f>
        <v>#REF!</v>
      </c>
      <c r="E15" s="12" t="e">
        <f>VLOOKUP($B15,#REF!,10,FALSE)</f>
        <v>#REF!</v>
      </c>
      <c r="F15" s="4"/>
      <c r="Q15" s="15"/>
      <c r="R15" s="15"/>
      <c r="S15" s="15"/>
    </row>
    <row r="16" spans="1:19" ht="12.75">
      <c r="A16" s="6" t="str">
        <f>CONCATENATE('Jul-Sep'!C15," (",'Jul-Sep'!G15,")")</f>
        <v>Moranbah North (992)</v>
      </c>
      <c r="B16" s="6" t="str">
        <f>'Jul-Sep'!C15</f>
        <v>Moranbah North</v>
      </c>
      <c r="C16" s="12">
        <f>VLOOKUP($B16,'Jul-Sep'!$C$5:$S$20,14,FALSE)</f>
        <v>144.67818878548525</v>
      </c>
      <c r="D16" s="12" t="e">
        <f>VLOOKUP($B16,#REF!,14,FALSE)</f>
        <v>#REF!</v>
      </c>
      <c r="E16" s="12" t="e">
        <f>VLOOKUP($B16,#REF!,10,FALSE)</f>
        <v>#REF!</v>
      </c>
      <c r="F16" s="4"/>
      <c r="Q16" s="15"/>
      <c r="R16" s="15"/>
      <c r="S16" s="15"/>
    </row>
    <row r="17" spans="1:19" ht="12.75">
      <c r="A17" s="6" t="str">
        <f>CONCATENATE('Jul-Sep'!C12," (",'Jul-Sep'!G12,")")</f>
        <v>Grasstree (669)</v>
      </c>
      <c r="B17" s="6" t="str">
        <f>'Jul-Sep'!C12</f>
        <v>Grasstree</v>
      </c>
      <c r="C17" s="12">
        <f>VLOOKUP($B17,'Jul-Sep'!$C$5:$S$20,14,FALSE)</f>
        <v>69.89438957734862</v>
      </c>
      <c r="D17" s="12" t="e">
        <f>VLOOKUP($B17,#REF!,14,FALSE)</f>
        <v>#REF!</v>
      </c>
      <c r="E17" s="12" t="e">
        <f>VLOOKUP($B17,#REF!,10,FALSE)</f>
        <v>#REF!</v>
      </c>
      <c r="F17" s="4"/>
      <c r="Q17" s="15"/>
      <c r="R17" s="15"/>
      <c r="S17" s="15"/>
    </row>
    <row r="18" spans="1:19" ht="12.75">
      <c r="A18" s="6" t="str">
        <f>CONCATENATE('Jul-Sep'!C14," (",'Jul-Sep'!G14,")")</f>
        <v>Kestrel Mine Extension Project (554)</v>
      </c>
      <c r="B18" s="6" t="str">
        <f>'Jul-Sep'!C14</f>
        <v>Kestrel Mine Extension Project</v>
      </c>
      <c r="C18" s="12">
        <f>VLOOKUP($B18,'Jul-Sep'!$C$5:$S$20,14,FALSE)</f>
        <v>3.6126254032593104</v>
      </c>
      <c r="D18" s="12" t="e">
        <f>VLOOKUP($B18,#REF!,14,FALSE)</f>
        <v>#REF!</v>
      </c>
      <c r="E18" s="12" t="e">
        <f>VLOOKUP($B18,#REF!,10,FALSE)</f>
        <v>#REF!</v>
      </c>
      <c r="F18" s="4"/>
      <c r="Q18" s="15"/>
      <c r="R18" s="15"/>
      <c r="S18" s="15"/>
    </row>
    <row r="19" spans="1:19" ht="12.75">
      <c r="A19" s="6" t="str">
        <f>CONCATENATE('Jul-Sep'!C13," (",'Jul-Sep'!G13,")")</f>
        <v>Kestrel (598)</v>
      </c>
      <c r="B19" s="6" t="str">
        <f>'Jul-Sep'!C13</f>
        <v>Kestrel</v>
      </c>
      <c r="C19" s="12">
        <f>VLOOKUP($B19,'Jul-Sep'!$C$5:$S$20,14,FALSE)</f>
        <v>3.4457094026518185</v>
      </c>
      <c r="D19" s="12" t="e">
        <f>VLOOKUP($B19,#REF!,14,FALSE)</f>
        <v>#REF!</v>
      </c>
      <c r="E19" s="12" t="e">
        <f>VLOOKUP($B19,#REF!,10,FALSE)</f>
        <v>#REF!</v>
      </c>
      <c r="F19" s="4"/>
      <c r="Q19" s="15"/>
      <c r="R19" s="15"/>
      <c r="S19" s="15"/>
    </row>
    <row r="20" spans="1:19" ht="12.75">
      <c r="A20" s="6" t="str">
        <f>CONCATENATE('Jul-Sep'!C18," (",'Jul-Sep'!G18,")")</f>
        <v>Oaky Creek No. 1 (555)</v>
      </c>
      <c r="B20" s="6" t="str">
        <f>'Jul-Sep'!C18</f>
        <v>Oaky Creek No. 1</v>
      </c>
      <c r="C20" s="12">
        <f>VLOOKUP($B20,'Jul-Sep'!$C$5:$S$20,14,FALSE)</f>
        <v>20.933640360058615</v>
      </c>
      <c r="D20" s="12" t="e">
        <f>VLOOKUP($B20,#REF!,14,FALSE)</f>
        <v>#REF!</v>
      </c>
      <c r="E20" s="12" t="e">
        <f>VLOOKUP($B20,#REF!,10,FALSE)</f>
        <v>#REF!</v>
      </c>
      <c r="F20" s="4"/>
      <c r="Q20" s="15"/>
      <c r="R20" s="15"/>
      <c r="S20" s="15"/>
    </row>
    <row r="21" spans="1:19" ht="12.75">
      <c r="A21" s="6" t="str">
        <f>CONCATENATE('Jul-Sep'!C6," (",'Jul-Sep'!G6,")")</f>
        <v>Aquila (105)</v>
      </c>
      <c r="B21" s="6" t="str">
        <f>'Jul-Sep'!C6</f>
        <v>Aquila</v>
      </c>
      <c r="C21" s="12">
        <f>VLOOKUP($B21,'Jul-Sep'!$C$5:$S$20,14,FALSE)</f>
        <v>88.98380494749956</v>
      </c>
      <c r="D21" s="12" t="e">
        <f>VLOOKUP($B21,#REF!,14,FALSE)</f>
        <v>#REF!</v>
      </c>
      <c r="E21" s="12" t="e">
        <f>VLOOKUP($B21,#REF!,10,FALSE)</f>
        <v>#REF!</v>
      </c>
      <c r="Q21" s="15"/>
      <c r="R21" s="15"/>
      <c r="S21" s="15"/>
    </row>
    <row r="22" spans="1:5" ht="12.75">
      <c r="A22" s="6" t="str">
        <f>CONCATENATE('Jul-Sep'!C11," (",'Jul-Sep'!G11,")")</f>
        <v>Crinum (158)</v>
      </c>
      <c r="B22" s="6" t="str">
        <f>'Jul-Sep'!C11</f>
        <v>Crinum</v>
      </c>
      <c r="C22" s="12">
        <f>VLOOKUP($B22,'Jul-Sep'!$C$5:$S$20,14,FALSE)</f>
        <v>31.98237415824168</v>
      </c>
      <c r="D22" s="12" t="e">
        <f>VLOOKUP($B22,#REF!,14,FALSE)</f>
        <v>#REF!</v>
      </c>
      <c r="E22" s="12" t="e">
        <f>VLOOKUP($B22,#REF!,10,FALSE)</f>
        <v>#REF!</v>
      </c>
    </row>
    <row r="23" spans="17:19" ht="12.75">
      <c r="Q23" s="15"/>
      <c r="R23" s="15"/>
      <c r="S23" s="15"/>
    </row>
    <row r="24" spans="1:5" ht="12.75">
      <c r="A24" s="15"/>
      <c r="B24" s="15"/>
      <c r="C24" s="15"/>
      <c r="D24" s="15"/>
      <c r="E24" s="15"/>
    </row>
    <row r="57" spans="3:20" ht="39">
      <c r="C57" s="46" t="s">
        <v>21</v>
      </c>
      <c r="D57" s="46" t="s">
        <v>21</v>
      </c>
      <c r="E57" s="46" t="s">
        <v>21</v>
      </c>
      <c r="Q57" s="2"/>
      <c r="R57" s="2"/>
      <c r="S57" s="2"/>
      <c r="T57" s="2"/>
    </row>
    <row r="58" spans="1:20" ht="12.75">
      <c r="A58" s="2"/>
      <c r="B58" s="2"/>
      <c r="C58" s="22" t="s">
        <v>69</v>
      </c>
      <c r="D58" s="22" t="s">
        <v>61</v>
      </c>
      <c r="E58" s="10" t="s">
        <v>27</v>
      </c>
      <c r="Q58" s="2"/>
      <c r="R58" s="2"/>
      <c r="S58" s="2"/>
      <c r="T58" s="2"/>
    </row>
    <row r="59" spans="1:20" ht="12.75">
      <c r="A59" s="35" t="s">
        <v>10</v>
      </c>
      <c r="B59" s="35"/>
      <c r="C59" s="48"/>
      <c r="D59" s="48">
        <v>263.1756355476512</v>
      </c>
      <c r="E59" s="48">
        <v>239.42717309263293</v>
      </c>
      <c r="Q59" s="2"/>
      <c r="R59" s="2"/>
      <c r="S59" s="2"/>
      <c r="T59" s="2"/>
    </row>
    <row r="60" spans="1:20" ht="12.75">
      <c r="A60" s="35" t="s">
        <v>62</v>
      </c>
      <c r="B60" s="35"/>
      <c r="C60" s="48"/>
      <c r="D60" s="48">
        <v>234.37610290024853</v>
      </c>
      <c r="E60" s="48">
        <v>189.53294243844215</v>
      </c>
      <c r="S60" s="2"/>
      <c r="T60" s="2"/>
    </row>
    <row r="61" spans="1:20" ht="12.75">
      <c r="A61" s="35" t="s">
        <v>63</v>
      </c>
      <c r="B61" s="35"/>
      <c r="C61" s="48">
        <v>343.4466975902928</v>
      </c>
      <c r="D61" s="48">
        <v>382.9313782002507</v>
      </c>
      <c r="E61" s="48">
        <v>460.32040124942125</v>
      </c>
      <c r="Q61" s="1"/>
      <c r="R61" s="1"/>
      <c r="T61" s="3"/>
    </row>
    <row r="62" spans="1:20" ht="12.75">
      <c r="A62" s="6" t="str">
        <f>CONCATENATE('Jul-Sep'!C9," (",'Jul-Sep'!G9,")")</f>
        <v>Carborough Downs (Includes Prep Plant) (428)</v>
      </c>
      <c r="B62" s="6" t="str">
        <f>'Jul-Sep'!C9</f>
        <v>Carborough Downs (Includes Prep Plant)</v>
      </c>
      <c r="C62" s="12">
        <f>VLOOKUP($B62,'Jul-Sep'!$C$5:$S$20,16,FALSE)</f>
        <v>539.9451415736161</v>
      </c>
      <c r="D62" s="12" t="e">
        <f>VLOOKUP($B62,#REF!,16,FALSE)</f>
        <v>#REF!</v>
      </c>
      <c r="E62" s="12" t="e">
        <f>VLOOKUP($B62,#REF!,12,FALSE)</f>
        <v>#REF!</v>
      </c>
      <c r="Q62" s="1"/>
      <c r="R62" s="1"/>
      <c r="T62" s="3"/>
    </row>
    <row r="63" spans="1:20" ht="12.75">
      <c r="A63" s="6" t="str">
        <f>CONCATENATE('Jul-Sep'!C7," (",'Jul-Sep'!G7,")")</f>
        <v>Broadmeadow - G.E.Adit (565)</v>
      </c>
      <c r="B63" s="6" t="str">
        <f>'Jul-Sep'!C7</f>
        <v>Broadmeadow - G.E.Adit</v>
      </c>
      <c r="C63" s="12">
        <f>VLOOKUP($B63,'Jul-Sep'!$C$5:$S$20,16,FALSE)</f>
        <v>861.1155323204002</v>
      </c>
      <c r="D63" s="12" t="e">
        <f>VLOOKUP($B63,#REF!,16,FALSE)</f>
        <v>#REF!</v>
      </c>
      <c r="E63" s="12" t="e">
        <f>VLOOKUP($B63,#REF!,12,FALSE)</f>
        <v>#REF!</v>
      </c>
      <c r="Q63" s="13"/>
      <c r="R63" s="13"/>
      <c r="T63" s="16"/>
    </row>
    <row r="64" spans="1:20" ht="12.75">
      <c r="A64" s="6" t="str">
        <f>CONCATENATE('Jul-Sep'!C17," (",'Jul-Sep'!G17,")")</f>
        <v>North Goonyella No. 1 (620)</v>
      </c>
      <c r="B64" s="6" t="str">
        <f>'Jul-Sep'!C17</f>
        <v>North Goonyella No. 1</v>
      </c>
      <c r="C64" s="12">
        <f>VLOOKUP($B64,'Jul-Sep'!$C$5:$S$20,16,FALSE)</f>
        <v>94.4493977906397</v>
      </c>
      <c r="D64" s="12" t="e">
        <f>VLOOKUP($B64,#REF!,16,FALSE)</f>
        <v>#REF!</v>
      </c>
      <c r="E64" s="12" t="e">
        <f>VLOOKUP($B64,#REF!,12,FALSE)</f>
        <v>#REF!</v>
      </c>
      <c r="Q64" s="8"/>
      <c r="R64" s="8"/>
      <c r="T64" s="16"/>
    </row>
    <row r="65" spans="1:18" ht="12.75">
      <c r="A65" s="6" t="str">
        <f>CONCATENATE('Jul-Sep'!C16," (",'Jul-Sep'!G16,")")</f>
        <v>Newlands Northern Underground (364)</v>
      </c>
      <c r="B65" s="6" t="str">
        <f>'Jul-Sep'!C16</f>
        <v>Newlands Northern Underground</v>
      </c>
      <c r="C65" s="12">
        <f>VLOOKUP($B65,'Jul-Sep'!$C$5:$S$20,16,FALSE)</f>
        <v>370.0484505296856</v>
      </c>
      <c r="D65" s="12" t="e">
        <f>VLOOKUP($B65,#REF!,16,FALSE)</f>
        <v>#REF!</v>
      </c>
      <c r="E65" s="12" t="e">
        <f>VLOOKUP($B65,#REF!,12,FALSE)</f>
        <v>#REF!</v>
      </c>
      <c r="Q65" s="13"/>
      <c r="R65" s="13"/>
    </row>
    <row r="66" spans="1:20" ht="12.75">
      <c r="A66" s="6" t="str">
        <f>CONCATENATE('Jul-Sep'!C18," (",'Jul-Sep'!G18,")")</f>
        <v>Oaky Creek No. 1 (555)</v>
      </c>
      <c r="B66" s="6" t="str">
        <f>'Jul-Sep'!C18</f>
        <v>Oaky Creek No. 1</v>
      </c>
      <c r="C66" s="12">
        <f>VLOOKUP($B66,'Jul-Sep'!$C$5:$S$20,16,FALSE)</f>
        <v>20.933640360058615</v>
      </c>
      <c r="D66" s="12" t="e">
        <f>VLOOKUP($B66,#REF!,16,FALSE)</f>
        <v>#REF!</v>
      </c>
      <c r="E66" s="12" t="e">
        <f>VLOOKUP($B66,#REF!,12,FALSE)</f>
        <v>#REF!</v>
      </c>
      <c r="Q66" s="13"/>
      <c r="R66" s="13"/>
      <c r="T66" s="1"/>
    </row>
    <row r="67" spans="1:18" ht="12.75">
      <c r="A67" s="6" t="str">
        <f>CONCATENATE('Jul-Sep'!C6," (",'Jul-Sep'!G6,")")</f>
        <v>Aquila (105)</v>
      </c>
      <c r="B67" s="6" t="str">
        <f>'Jul-Sep'!C6</f>
        <v>Aquila</v>
      </c>
      <c r="C67" s="12">
        <f>VLOOKUP($B67,'Jul-Sep'!$C$5:$S$20,16,FALSE)</f>
        <v>1156.7894643174943</v>
      </c>
      <c r="D67" s="12" t="e">
        <f>VLOOKUP($B67,#REF!,16,FALSE)</f>
        <v>#REF!</v>
      </c>
      <c r="E67" s="12" t="e">
        <f>VLOOKUP($B67,#REF!,12,FALSE)</f>
        <v>#REF!</v>
      </c>
      <c r="Q67" s="13"/>
      <c r="R67" s="13"/>
    </row>
    <row r="68" spans="1:20" ht="12.75">
      <c r="A68" s="6" t="str">
        <f>CONCATENATE('Jul-Sep'!C8," (",'Jul-Sep'!G8,")")</f>
        <v>Bundoora (22)</v>
      </c>
      <c r="B68" s="6" t="str">
        <f>'Jul-Sep'!C8</f>
        <v>Bundoora</v>
      </c>
      <c r="C68" s="12">
        <f>VLOOKUP($B68,'Jul-Sep'!$C$5:$S$20,16,FALSE)</f>
        <v>0</v>
      </c>
      <c r="D68" s="12" t="e">
        <f>VLOOKUP($B68,#REF!,16,FALSE)</f>
        <v>#REF!</v>
      </c>
      <c r="E68" s="12" t="e">
        <f>VLOOKUP($B68,#REF!,12,FALSE)</f>
        <v>#REF!</v>
      </c>
      <c r="Q68" s="13"/>
      <c r="R68" s="13"/>
      <c r="T68" s="18"/>
    </row>
    <row r="69" spans="1:20" ht="12.75">
      <c r="A69" s="6" t="str">
        <f>CONCATENATE('Jul-Sep'!C10," (",'Jul-Sep'!G10,")")</f>
        <v>Cook (255)</v>
      </c>
      <c r="B69" s="6" t="str">
        <f>'Jul-Sep'!C10</f>
        <v>Cook</v>
      </c>
      <c r="C69" s="12">
        <f>VLOOKUP($B69,'Jul-Sep'!$C$5:$S$20,16,FALSE)</f>
        <v>151.2269279443485</v>
      </c>
      <c r="D69" s="12" t="e">
        <f>VLOOKUP($B69,#REF!,16,FALSE)</f>
        <v>#REF!</v>
      </c>
      <c r="E69" s="12" t="e">
        <f>VLOOKUP($B69,#REF!,12,FALSE)</f>
        <v>#REF!</v>
      </c>
      <c r="Q69" s="13"/>
      <c r="R69" s="13"/>
      <c r="T69" s="19"/>
    </row>
    <row r="70" spans="1:20" ht="12.75">
      <c r="A70" s="6" t="str">
        <f>CONCATENATE('Jul-Sep'!C11," (",'Jul-Sep'!G11,")")</f>
        <v>Crinum (158)</v>
      </c>
      <c r="B70" s="6" t="str">
        <f>'Jul-Sep'!C11</f>
        <v>Crinum</v>
      </c>
      <c r="C70" s="12">
        <f>VLOOKUP($B70,'Jul-Sep'!$C$5:$S$20,16,FALSE)</f>
        <v>429.9852525719159</v>
      </c>
      <c r="D70" s="12" t="e">
        <f>VLOOKUP($B70,#REF!,16,FALSE)</f>
        <v>#REF!</v>
      </c>
      <c r="E70" s="12" t="e">
        <f>VLOOKUP($B70,#REF!,12,FALSE)</f>
        <v>#REF!</v>
      </c>
      <c r="Q70" s="13"/>
      <c r="R70" s="13"/>
      <c r="T70" s="19"/>
    </row>
    <row r="71" spans="1:20" ht="12.75">
      <c r="A71" s="6" t="str">
        <f>CONCATENATE('Jul-Sep'!C12," (",'Jul-Sep'!G12,")")</f>
        <v>Grasstree (669)</v>
      </c>
      <c r="B71" s="6" t="str">
        <f>'Jul-Sep'!C12</f>
        <v>Grasstree</v>
      </c>
      <c r="C71" s="12">
        <f>VLOOKUP($B71,'Jul-Sep'!$C$5:$S$20,16,FALSE)</f>
        <v>174.73597394337156</v>
      </c>
      <c r="D71" s="12" t="e">
        <f>VLOOKUP($B71,#REF!,16,FALSE)</f>
        <v>#REF!</v>
      </c>
      <c r="E71" s="12" t="e">
        <f>VLOOKUP($B71,#REF!,12,FALSE)</f>
        <v>#REF!</v>
      </c>
      <c r="Q71" s="13"/>
      <c r="R71" s="13"/>
      <c r="T71" s="19"/>
    </row>
    <row r="72" spans="1:20" ht="12.75">
      <c r="A72" s="6" t="str">
        <f>CONCATENATE('Jul-Sep'!C13," (",'Jul-Sep'!G13,")")</f>
        <v>Kestrel (598)</v>
      </c>
      <c r="B72" s="6" t="str">
        <f>'Jul-Sep'!C13</f>
        <v>Kestrel</v>
      </c>
      <c r="C72" s="12">
        <f>VLOOKUP($B72,'Jul-Sep'!$C$5:$S$20,16,FALSE)</f>
        <v>0</v>
      </c>
      <c r="D72" s="12" t="e">
        <f>VLOOKUP($B72,#REF!,16,FALSE)</f>
        <v>#REF!</v>
      </c>
      <c r="E72" s="12" t="e">
        <f>VLOOKUP($B72,#REF!,12,FALSE)</f>
        <v>#REF!</v>
      </c>
      <c r="Q72" s="13"/>
      <c r="R72" s="13"/>
      <c r="T72" s="19"/>
    </row>
    <row r="73" spans="1:20" ht="12.75">
      <c r="A73" s="6" t="str">
        <f>CONCATENATE('Jul-Sep'!C14," (",'Jul-Sep'!G14,")")</f>
        <v>Kestrel Mine Extension Project (554)</v>
      </c>
      <c r="B73" s="6" t="str">
        <f>'Jul-Sep'!C14</f>
        <v>Kestrel Mine Extension Project</v>
      </c>
      <c r="C73" s="12">
        <f>VLOOKUP($B73,'Jul-Sep'!$C$5:$S$20,16,FALSE)</f>
        <v>0</v>
      </c>
      <c r="D73" s="12" t="e">
        <f>VLOOKUP($B73,#REF!,16,FALSE)</f>
        <v>#REF!</v>
      </c>
      <c r="E73" s="12" t="e">
        <f>VLOOKUP($B73,#REF!,12,FALSE)</f>
        <v>#REF!</v>
      </c>
      <c r="Q73" s="13"/>
      <c r="R73" s="13"/>
      <c r="T73" s="20"/>
    </row>
    <row r="74" spans="1:20" ht="12.75">
      <c r="A74" s="6" t="str">
        <f>CONCATENATE('Jul-Sep'!C15," (",'Jul-Sep'!G15,")")</f>
        <v>Moranbah North (992)</v>
      </c>
      <c r="B74" s="6" t="str">
        <f>'Jul-Sep'!C15</f>
        <v>Moranbah North</v>
      </c>
      <c r="C74" s="12">
        <f>VLOOKUP($B74,'Jul-Sep'!$C$5:$S$20,16,FALSE)</f>
        <v>641.2762962383671</v>
      </c>
      <c r="D74" s="12" t="e">
        <f>VLOOKUP($B74,#REF!,16,FALSE)</f>
        <v>#REF!</v>
      </c>
      <c r="E74" s="12" t="e">
        <f>VLOOKUP($B74,#REF!,12,FALSE)</f>
        <v>#REF!</v>
      </c>
      <c r="Q74" s="13"/>
      <c r="R74" s="13"/>
      <c r="T74" s="17"/>
    </row>
    <row r="75" spans="1:19" ht="12.75">
      <c r="A75" s="6" t="str">
        <f>CONCATENATE('Jul-Sep'!C19," (",'Jul-Sep'!G19,")")</f>
        <v>Oaky North Underground (555)</v>
      </c>
      <c r="B75" s="6" t="str">
        <f>'Jul-Sep'!C19</f>
        <v>Oaky North Underground</v>
      </c>
      <c r="C75" s="12">
        <f>VLOOKUP($B75,'Jul-Sep'!$C$5:$S$20,16,FALSE)</f>
        <v>0</v>
      </c>
      <c r="D75" s="12" t="e">
        <f>VLOOKUP($B75,#REF!,16,FALSE)</f>
        <v>#REF!</v>
      </c>
      <c r="E75" s="12" t="e">
        <f>VLOOKUP($B75,#REF!,12,FALSE)</f>
        <v>#REF!</v>
      </c>
      <c r="Q75" s="13"/>
      <c r="R75" s="13"/>
      <c r="S75" s="13"/>
    </row>
    <row r="76" spans="1:19" ht="12.75">
      <c r="A76" s="6"/>
      <c r="B76" s="6"/>
      <c r="C76" s="47"/>
      <c r="D76" s="47"/>
      <c r="E76" s="47"/>
      <c r="Q76" s="13"/>
      <c r="R76" s="13"/>
      <c r="S76" s="13"/>
    </row>
    <row r="77" spans="1:20" ht="12.75">
      <c r="A77" s="13"/>
      <c r="B77" s="13"/>
      <c r="C77" s="9"/>
      <c r="D77" s="13"/>
      <c r="Q77" s="13"/>
      <c r="R77" s="13"/>
      <c r="S77" s="13"/>
      <c r="T77" s="13"/>
    </row>
    <row r="78" spans="1:4" ht="12.75">
      <c r="A78" s="13"/>
      <c r="B78" s="13"/>
      <c r="C78" s="9"/>
      <c r="D78" s="13"/>
    </row>
    <row r="79" spans="1:4" ht="12.75">
      <c r="A79" s="13"/>
      <c r="B79" s="13"/>
      <c r="D79" s="13"/>
    </row>
    <row r="80" spans="17:20" ht="12.75">
      <c r="Q80" s="13"/>
      <c r="R80" s="13"/>
      <c r="S80" s="13"/>
      <c r="T80" s="13"/>
    </row>
    <row r="82" spans="1:2" ht="12.75">
      <c r="A82" s="13"/>
      <c r="B82" s="13"/>
    </row>
    <row r="111" spans="17:19" ht="12.75">
      <c r="Q111" s="2"/>
      <c r="R111" s="2"/>
      <c r="S111" s="3"/>
    </row>
    <row r="112" spans="17:19" ht="12.75">
      <c r="Q112" s="11"/>
      <c r="R112" s="11"/>
      <c r="S112" s="3"/>
    </row>
    <row r="113" spans="17:19" ht="12.75">
      <c r="Q113" s="12"/>
      <c r="R113" s="12"/>
      <c r="S113" s="16"/>
    </row>
    <row r="114" spans="3:19" ht="39">
      <c r="C114" s="46" t="s">
        <v>22</v>
      </c>
      <c r="D114" s="46" t="s">
        <v>22</v>
      </c>
      <c r="E114" s="46" t="s">
        <v>22</v>
      </c>
      <c r="Q114" s="12"/>
      <c r="R114" s="12"/>
      <c r="S114" s="16"/>
    </row>
    <row r="115" spans="3:18" ht="12.75">
      <c r="C115" s="22" t="s">
        <v>69</v>
      </c>
      <c r="D115" s="22" t="s">
        <v>61</v>
      </c>
      <c r="E115" s="10" t="s">
        <v>27</v>
      </c>
      <c r="Q115" s="1"/>
      <c r="R115" s="1"/>
    </row>
    <row r="116" spans="1:19" ht="12.75">
      <c r="A116" s="35" t="s">
        <v>10</v>
      </c>
      <c r="B116" s="35"/>
      <c r="C116" s="48"/>
      <c r="D116" s="48">
        <v>27.235880398671096</v>
      </c>
      <c r="E116" s="48">
        <v>26.09760956175299</v>
      </c>
      <c r="Q116" s="13"/>
      <c r="R116" s="13"/>
      <c r="S116" s="1"/>
    </row>
    <row r="117" spans="1:18" ht="12.75">
      <c r="A117" s="35" t="s">
        <v>62</v>
      </c>
      <c r="B117" s="35"/>
      <c r="C117" s="48"/>
      <c r="D117" s="48">
        <v>30.81413612565445</v>
      </c>
      <c r="E117" s="48">
        <v>25.481927710843372</v>
      </c>
      <c r="Q117" s="13"/>
      <c r="R117" s="13"/>
    </row>
    <row r="118" spans="1:18" ht="12.75">
      <c r="A118" s="35" t="s">
        <v>63</v>
      </c>
      <c r="B118" s="35"/>
      <c r="C118" s="48">
        <v>15.92</v>
      </c>
      <c r="D118" s="48">
        <v>21.022727272727273</v>
      </c>
      <c r="E118" s="48">
        <v>27.3</v>
      </c>
      <c r="Q118" s="13"/>
      <c r="R118" s="13"/>
    </row>
    <row r="119" spans="1:19" ht="12.75">
      <c r="A119" s="6" t="str">
        <f>CONCATENATE('Jul-Sep'!C7," (",'Jul-Sep'!G7,")")</f>
        <v>Broadmeadow - G.E.Adit (565)</v>
      </c>
      <c r="B119" s="6" t="str">
        <f>'Jul-Sep'!C7</f>
        <v>Broadmeadow - G.E.Adit</v>
      </c>
      <c r="C119" s="12">
        <f>VLOOKUP($B119,'Jul-Sep'!$C$5:$S$20,17,FALSE)</f>
        <v>38.36363636363637</v>
      </c>
      <c r="D119" s="12" t="e">
        <f>VLOOKUP($B119,#REF!,17,FALSE)</f>
        <v>#REF!</v>
      </c>
      <c r="E119" s="12" t="e">
        <f>VLOOKUP($B119,#REF!,13,FALSE)</f>
        <v>#REF!</v>
      </c>
      <c r="Q119" s="15"/>
      <c r="R119" s="15"/>
      <c r="S119" s="17"/>
    </row>
    <row r="120" spans="1:19" ht="12.75">
      <c r="A120" s="6" t="str">
        <f>CONCATENATE('Jul-Sep'!C16," (",'Jul-Sep'!G16,")")</f>
        <v>Newlands Northern Underground (364)</v>
      </c>
      <c r="B120" s="6" t="str">
        <f>'Jul-Sep'!C16</f>
        <v>Newlands Northern Underground</v>
      </c>
      <c r="C120" s="12">
        <f>VLOOKUP($B120,'Jul-Sep'!$C$5:$S$20,17,FALSE)</f>
        <v>28.666666666666668</v>
      </c>
      <c r="D120" s="12" t="e">
        <f>VLOOKUP($B120,#REF!,17,FALSE)</f>
        <v>#REF!</v>
      </c>
      <c r="E120" s="12" t="e">
        <f>VLOOKUP($B120,#REF!,13,FALSE)</f>
        <v>#REF!</v>
      </c>
      <c r="F120" s="15"/>
      <c r="Q120" s="15"/>
      <c r="R120" s="15"/>
      <c r="S120" s="18"/>
    </row>
    <row r="121" spans="1:19" ht="12.75">
      <c r="A121" s="6" t="str">
        <f>CONCATENATE('Jul-Sep'!C9," (",'Jul-Sep'!G9,")")</f>
        <v>Carborough Downs (Includes Prep Plant) (428)</v>
      </c>
      <c r="B121" s="6" t="str">
        <f>'Jul-Sep'!C9</f>
        <v>Carborough Downs (Includes Prep Plant)</v>
      </c>
      <c r="C121" s="12">
        <f>VLOOKUP($B121,'Jul-Sep'!$C$5:$S$20,17,FALSE)</f>
        <v>9.375</v>
      </c>
      <c r="D121" s="12" t="e">
        <f>VLOOKUP($B121,#REF!,17,FALSE)</f>
        <v>#REF!</v>
      </c>
      <c r="E121" s="12" t="e">
        <f>VLOOKUP($B121,#REF!,13,FALSE)</f>
        <v>#REF!</v>
      </c>
      <c r="F121" s="15"/>
      <c r="Q121" s="15"/>
      <c r="R121" s="15"/>
      <c r="S121" s="19"/>
    </row>
    <row r="122" spans="1:19" ht="12.75">
      <c r="A122" s="6" t="str">
        <f>CONCATENATE('Jul-Sep'!C17," (",'Jul-Sep'!G17,")")</f>
        <v>North Goonyella No. 1 (620)</v>
      </c>
      <c r="B122" s="6" t="str">
        <f>'Jul-Sep'!C17</f>
        <v>North Goonyella No. 1</v>
      </c>
      <c r="C122" s="12">
        <f>VLOOKUP($B122,'Jul-Sep'!$C$5:$S$20,17,FALSE)</f>
        <v>5</v>
      </c>
      <c r="D122" s="12" t="e">
        <f>VLOOKUP($B122,#REF!,17,FALSE)</f>
        <v>#REF!</v>
      </c>
      <c r="E122" s="12" t="e">
        <f>VLOOKUP($B122,#REF!,13,FALSE)</f>
        <v>#REF!</v>
      </c>
      <c r="Q122" s="13"/>
      <c r="R122" s="13"/>
      <c r="S122" s="19"/>
    </row>
    <row r="123" spans="1:19" ht="12.75">
      <c r="A123" s="6" t="str">
        <f>CONCATENATE('Jul-Sep'!C18," (",'Jul-Sep'!G18,")")</f>
        <v>Oaky Creek No. 1 (555)</v>
      </c>
      <c r="B123" s="6" t="str">
        <f>'Jul-Sep'!C18</f>
        <v>Oaky Creek No. 1</v>
      </c>
      <c r="C123" s="12">
        <f>VLOOKUP($B123,'Jul-Sep'!$C$5:$S$20,17,FALSE)</f>
        <v>2.5</v>
      </c>
      <c r="D123" s="12" t="e">
        <f>VLOOKUP($B123,#REF!,17,FALSE)</f>
        <v>#REF!</v>
      </c>
      <c r="E123" s="12" t="e">
        <f>VLOOKUP($B123,#REF!,13,FALSE)</f>
        <v>#REF!</v>
      </c>
      <c r="Q123" s="15"/>
      <c r="R123" s="15"/>
      <c r="S123" s="19"/>
    </row>
    <row r="124" spans="1:19" ht="12.75">
      <c r="A124" s="6" t="str">
        <f>CONCATENATE('Jul-Sep'!C6," (",'Jul-Sep'!G6,")")</f>
        <v>Aquila (105)</v>
      </c>
      <c r="B124" s="6" t="str">
        <f>'Jul-Sep'!C6</f>
        <v>Aquila</v>
      </c>
      <c r="C124" s="12">
        <f>VLOOKUP($B124,'Jul-Sep'!$C$5:$S$20,17,FALSE)</f>
        <v>13</v>
      </c>
      <c r="D124" s="12" t="e">
        <f>VLOOKUP($B124,#REF!,17,FALSE)</f>
        <v>#REF!</v>
      </c>
      <c r="E124" s="12" t="e">
        <f>VLOOKUP($B124,#REF!,13,FALSE)</f>
        <v>#REF!</v>
      </c>
      <c r="Q124" s="15"/>
      <c r="R124" s="15"/>
      <c r="S124" s="19"/>
    </row>
    <row r="125" spans="1:19" ht="12.75">
      <c r="A125" s="6" t="str">
        <f>CONCATENATE('Jul-Sep'!C8," (",'Jul-Sep'!G8,")")</f>
        <v>Bundoora (22)</v>
      </c>
      <c r="B125" s="6" t="str">
        <f>'Jul-Sep'!C8</f>
        <v>Bundoora</v>
      </c>
      <c r="C125" s="12">
        <f>VLOOKUP($B125,'Jul-Sep'!$C$5:$S$20,17,FALSE)</f>
        <v>0</v>
      </c>
      <c r="D125" s="12" t="e">
        <f>VLOOKUP($B125,#REF!,17,FALSE)</f>
        <v>#REF!</v>
      </c>
      <c r="E125" s="12" t="e">
        <f>VLOOKUP($B125,#REF!,13,FALSE)</f>
        <v>#REF!</v>
      </c>
      <c r="R125" s="13"/>
      <c r="S125" s="20"/>
    </row>
    <row r="126" spans="1:19" ht="12.75">
      <c r="A126" s="6" t="str">
        <f>CONCATENATE('Jul-Sep'!C10," (",'Jul-Sep'!G10,")")</f>
        <v>Cook (255)</v>
      </c>
      <c r="B126" s="6" t="str">
        <f>'Jul-Sep'!C10</f>
        <v>Cook</v>
      </c>
      <c r="C126" s="12">
        <f>VLOOKUP($B126,'Jul-Sep'!$C$5:$S$20,17,FALSE)</f>
        <v>9.5</v>
      </c>
      <c r="D126" s="12" t="e">
        <f>VLOOKUP($B126,#REF!,17,FALSE)</f>
        <v>#REF!</v>
      </c>
      <c r="E126" s="12" t="e">
        <f>VLOOKUP($B126,#REF!,13,FALSE)</f>
        <v>#REF!</v>
      </c>
      <c r="Q126" s="13"/>
      <c r="R126" s="13"/>
      <c r="S126" s="17"/>
    </row>
    <row r="127" spans="1:19" ht="12.75">
      <c r="A127" s="6" t="str">
        <f>CONCATENATE('Jul-Sep'!C11," (",'Jul-Sep'!G11,")")</f>
        <v>Crinum (158)</v>
      </c>
      <c r="B127" s="6" t="str">
        <f>'Jul-Sep'!C11</f>
        <v>Crinum</v>
      </c>
      <c r="C127" s="12">
        <f>VLOOKUP($B127,'Jul-Sep'!$C$5:$S$20,17,FALSE)</f>
        <v>20.166666666666668</v>
      </c>
      <c r="D127" s="12" t="e">
        <f>VLOOKUP($B127,#REF!,17,FALSE)</f>
        <v>#REF!</v>
      </c>
      <c r="E127" s="12" t="e">
        <f>VLOOKUP($B127,#REF!,13,FALSE)</f>
        <v>#REF!</v>
      </c>
      <c r="Q127" s="15"/>
      <c r="R127" s="15"/>
      <c r="S127" s="15"/>
    </row>
    <row r="128" spans="1:19" ht="12.75">
      <c r="A128" s="6" t="str">
        <f>CONCATENATE('Jul-Sep'!C12," (",'Jul-Sep'!G12,")")</f>
        <v>Grasstree (669)</v>
      </c>
      <c r="B128" s="6" t="str">
        <f>'Jul-Sep'!C12</f>
        <v>Grasstree</v>
      </c>
      <c r="C128" s="12">
        <f>VLOOKUP($B128,'Jul-Sep'!$C$5:$S$20,17,FALSE)</f>
        <v>5</v>
      </c>
      <c r="D128" s="12" t="e">
        <f>VLOOKUP($B128,#REF!,17,FALSE)</f>
        <v>#REF!</v>
      </c>
      <c r="E128" s="12" t="e">
        <f>VLOOKUP($B128,#REF!,13,FALSE)</f>
        <v>#REF!</v>
      </c>
      <c r="Q128" s="15"/>
      <c r="R128" s="15"/>
      <c r="S128" s="15"/>
    </row>
    <row r="129" spans="1:5" ht="12.75">
      <c r="A129" s="6" t="str">
        <f>CONCATENATE('Jul-Sep'!C13," (",'Jul-Sep'!G13,")")</f>
        <v>Kestrel (598)</v>
      </c>
      <c r="B129" s="6" t="str">
        <f>'Jul-Sep'!C13</f>
        <v>Kestrel</v>
      </c>
      <c r="C129" s="12">
        <f>VLOOKUP($B129,'Jul-Sep'!$C$5:$S$20,17,FALSE)</f>
        <v>0</v>
      </c>
      <c r="D129" s="12" t="e">
        <f>VLOOKUP($B129,#REF!,17,FALSE)</f>
        <v>#REF!</v>
      </c>
      <c r="E129" s="12" t="e">
        <f>VLOOKUP($B129,#REF!,13,FALSE)</f>
        <v>#REF!</v>
      </c>
    </row>
    <row r="130" spans="1:5" ht="12.75">
      <c r="A130" s="6" t="str">
        <f>CONCATENATE('Jul-Sep'!C14," (",'Jul-Sep'!G14,")")</f>
        <v>Kestrel Mine Extension Project (554)</v>
      </c>
      <c r="B130" s="6" t="str">
        <f>'Jul-Sep'!C14</f>
        <v>Kestrel Mine Extension Project</v>
      </c>
      <c r="C130" s="12">
        <f>VLOOKUP($B130,'Jul-Sep'!$C$5:$S$20,17,FALSE)</f>
        <v>0</v>
      </c>
      <c r="D130" s="12" t="e">
        <f>VLOOKUP($B130,#REF!,17,FALSE)</f>
        <v>#REF!</v>
      </c>
      <c r="E130" s="12" t="e">
        <f>VLOOKUP($B130,#REF!,13,FALSE)</f>
        <v>#REF!</v>
      </c>
    </row>
    <row r="131" spans="1:19" ht="12.75">
      <c r="A131" s="6" t="str">
        <f>CONCATENATE('Jul-Sep'!C15," (",'Jul-Sep'!G15,")")</f>
        <v>Moranbah North (992)</v>
      </c>
      <c r="B131" s="6" t="str">
        <f>'Jul-Sep'!C15</f>
        <v>Moranbah North</v>
      </c>
      <c r="C131" s="12">
        <f>VLOOKUP($B131,'Jul-Sep'!$C$5:$S$20,17,FALSE)</f>
        <v>14.26086956521739</v>
      </c>
      <c r="D131" s="12" t="e">
        <f>VLOOKUP($B131,#REF!,17,FALSE)</f>
        <v>#REF!</v>
      </c>
      <c r="E131" s="12" t="e">
        <f>VLOOKUP($B131,#REF!,13,FALSE)</f>
        <v>#REF!</v>
      </c>
      <c r="Q131" s="15"/>
      <c r="R131" s="15"/>
      <c r="S131" s="15"/>
    </row>
    <row r="132" spans="1:5" ht="12.75">
      <c r="A132" s="6" t="str">
        <f>CONCATENATE('Jul-Sep'!C19," (",'Jul-Sep'!G19,")")</f>
        <v>Oaky North Underground (555)</v>
      </c>
      <c r="B132" s="6" t="str">
        <f>'Jul-Sep'!C19</f>
        <v>Oaky North Underground</v>
      </c>
      <c r="C132" s="12">
        <f>VLOOKUP($B132,'Jul-Sep'!$C$5:$S$20,17,FALSE)</f>
        <v>0</v>
      </c>
      <c r="D132" s="12" t="e">
        <f>VLOOKUP($B132,#REF!,17,FALSE)</f>
        <v>#REF!</v>
      </c>
      <c r="E132" s="12" t="e">
        <f>VLOOKUP($B132,#REF!,13,FALSE)</f>
        <v>#REF!</v>
      </c>
    </row>
    <row r="133" spans="1:5" ht="12.75">
      <c r="A133" s="6"/>
      <c r="B133" s="6"/>
      <c r="C133" s="49"/>
      <c r="D133" s="49"/>
      <c r="E133" s="49"/>
    </row>
    <row r="134" spans="1:5" ht="12.75">
      <c r="A134" s="13"/>
      <c r="B134" s="13"/>
      <c r="C134" s="13"/>
      <c r="D134" s="13"/>
      <c r="E134" s="13"/>
    </row>
    <row r="135" spans="1:5" ht="12.75">
      <c r="A135" s="13"/>
      <c r="B135" s="13"/>
      <c r="C135" s="13"/>
      <c r="D135" s="13"/>
      <c r="E135" s="13"/>
    </row>
    <row r="136" spans="1:5" ht="12.75">
      <c r="A136" s="15"/>
      <c r="B136" s="15"/>
      <c r="C136" s="15"/>
      <c r="D136" s="15"/>
      <c r="E136" s="15"/>
    </row>
    <row r="137" spans="1:5" ht="12.75">
      <c r="A137" s="15"/>
      <c r="B137" s="15"/>
      <c r="C137" s="15"/>
      <c r="D137" s="15"/>
      <c r="E137" s="15"/>
    </row>
    <row r="138" spans="1:2" ht="12.75">
      <c r="A138" s="3"/>
      <c r="B138" s="3"/>
    </row>
    <row r="139" spans="1:2" ht="12.75">
      <c r="A139" s="3"/>
      <c r="B139" s="3"/>
    </row>
    <row r="140" spans="1:2" ht="12.75">
      <c r="A140" s="16"/>
      <c r="B140" s="16"/>
    </row>
    <row r="141" spans="1:2" ht="12.75">
      <c r="A141" s="16"/>
      <c r="B141" s="16"/>
    </row>
    <row r="143" spans="1:2" ht="12.75">
      <c r="A143" s="1"/>
      <c r="B143" s="1"/>
    </row>
    <row r="144" spans="1:2" ht="12.75">
      <c r="A144" s="17"/>
      <c r="B144" s="17"/>
    </row>
    <row r="145" spans="1:2" ht="12.75">
      <c r="A145" s="18"/>
      <c r="B145" s="18"/>
    </row>
    <row r="146" spans="1:2" ht="12.75">
      <c r="A146" s="19"/>
      <c r="B146" s="19"/>
    </row>
    <row r="147" spans="1:2" ht="12.75">
      <c r="A147" s="19"/>
      <c r="B147" s="19"/>
    </row>
    <row r="148" spans="1:2" ht="12.75">
      <c r="A148" s="19"/>
      <c r="B148" s="19"/>
    </row>
    <row r="149" spans="1:2" ht="12.75">
      <c r="A149" s="19"/>
      <c r="B149" s="19"/>
    </row>
    <row r="150" spans="1:2" ht="12.75">
      <c r="A150" s="20"/>
      <c r="B150" s="20"/>
    </row>
    <row r="151" spans="1:2" ht="12.75">
      <c r="A151" s="17"/>
      <c r="B151" s="17"/>
    </row>
  </sheetData>
  <sheetProtection/>
  <printOptions/>
  <pageMargins left="0.22" right="0.17" top="0.34" bottom="1" header="0.18" footer="0.5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199"/>
  <sheetViews>
    <sheetView zoomScalePageLayoutView="0" workbookViewId="0" topLeftCell="C1">
      <pane xSplit="1" ySplit="4" topLeftCell="D5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F13" sqref="F13"/>
    </sheetView>
  </sheetViews>
  <sheetFormatPr defaultColWidth="9.140625" defaultRowHeight="17.25" customHeight="1"/>
  <cols>
    <col min="1" max="1" width="24.7109375" style="0" customWidth="1"/>
    <col min="2" max="2" width="20.140625" style="0" customWidth="1"/>
    <col min="3" max="3" width="43.00390625" style="0" customWidth="1"/>
    <col min="4" max="5" width="8.57421875" style="9" customWidth="1"/>
    <col min="6" max="6" width="10.7109375" style="90" customWidth="1"/>
    <col min="7" max="7" width="10.7109375" style="9" customWidth="1"/>
    <col min="8" max="14" width="8.57421875" style="9" customWidth="1"/>
    <col min="15" max="18" width="10.421875" style="9" customWidth="1"/>
    <col min="19" max="19" width="10.421875" style="52" customWidth="1"/>
    <col min="21" max="21" width="9.8515625" style="0" customWidth="1"/>
    <col min="25" max="25" width="17.8515625" style="0" customWidth="1"/>
  </cols>
  <sheetData>
    <row r="1" ht="11.25" customHeight="1"/>
    <row r="2" spans="3:19" ht="14.25" customHeight="1">
      <c r="C2" s="39" t="s">
        <v>71</v>
      </c>
      <c r="D2" s="53"/>
      <c r="E2" s="53"/>
      <c r="F2" s="91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3:21" ht="12.75">
      <c r="C3" s="54" t="s">
        <v>29</v>
      </c>
      <c r="D3" s="53"/>
      <c r="E3" s="53"/>
      <c r="F3" s="91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3"/>
      <c r="U3" s="3"/>
    </row>
    <row r="4" spans="2:35" ht="43.5" customHeight="1">
      <c r="B4" t="s">
        <v>30</v>
      </c>
      <c r="C4" s="55" t="s">
        <v>0</v>
      </c>
      <c r="D4" s="56" t="s">
        <v>11</v>
      </c>
      <c r="E4" s="57" t="s">
        <v>31</v>
      </c>
      <c r="F4" s="92" t="s">
        <v>23</v>
      </c>
      <c r="G4" s="57" t="s">
        <v>72</v>
      </c>
      <c r="H4" s="56" t="s">
        <v>18</v>
      </c>
      <c r="I4" s="56" t="s">
        <v>17</v>
      </c>
      <c r="J4" s="57" t="s">
        <v>32</v>
      </c>
      <c r="K4" s="57" t="s">
        <v>33</v>
      </c>
      <c r="L4" s="56" t="s">
        <v>19</v>
      </c>
      <c r="M4" s="58" t="s">
        <v>34</v>
      </c>
      <c r="N4" s="59" t="s">
        <v>15</v>
      </c>
      <c r="O4" s="59" t="s">
        <v>20</v>
      </c>
      <c r="P4" s="59" t="s">
        <v>16</v>
      </c>
      <c r="Q4" s="58" t="s">
        <v>26</v>
      </c>
      <c r="R4" s="58" t="s">
        <v>21</v>
      </c>
      <c r="S4" s="60" t="s">
        <v>22</v>
      </c>
      <c r="T4" s="61"/>
      <c r="U4" s="61"/>
      <c r="V4" s="62"/>
      <c r="W4" s="62"/>
      <c r="X4" s="62"/>
      <c r="Y4" s="63"/>
      <c r="Z4" s="63"/>
      <c r="AI4" s="64"/>
    </row>
    <row r="5" spans="3:35" ht="12.75" customHeight="1">
      <c r="C5" s="65"/>
      <c r="D5" s="66"/>
      <c r="E5" s="61"/>
      <c r="F5" s="93"/>
      <c r="G5" s="61"/>
      <c r="H5" s="66"/>
      <c r="I5" s="66"/>
      <c r="J5" s="61"/>
      <c r="K5" s="61"/>
      <c r="L5" s="66"/>
      <c r="M5" s="67"/>
      <c r="N5" s="67"/>
      <c r="O5" s="67"/>
      <c r="P5" s="67"/>
      <c r="Q5" s="68"/>
      <c r="R5" s="68"/>
      <c r="S5" s="69"/>
      <c r="T5" s="61"/>
      <c r="U5" s="61"/>
      <c r="V5" s="62"/>
      <c r="W5" s="62"/>
      <c r="X5" s="62"/>
      <c r="Y5" s="63"/>
      <c r="Z5" s="63"/>
      <c r="AI5" s="3"/>
    </row>
    <row r="6" spans="1:29" ht="12.75">
      <c r="A6" s="70" t="s">
        <v>35</v>
      </c>
      <c r="B6" s="71" t="s">
        <v>36</v>
      </c>
      <c r="C6" t="s">
        <v>13</v>
      </c>
      <c r="D6" s="41">
        <v>0</v>
      </c>
      <c r="E6" s="41">
        <v>0</v>
      </c>
      <c r="F6" s="94">
        <v>0.011238</v>
      </c>
      <c r="G6" s="41">
        <v>93</v>
      </c>
      <c r="H6" s="41">
        <v>0</v>
      </c>
      <c r="I6" s="41">
        <v>1</v>
      </c>
      <c r="J6" s="41">
        <v>13</v>
      </c>
      <c r="K6" s="41">
        <v>0</v>
      </c>
      <c r="L6" s="73">
        <v>0</v>
      </c>
      <c r="M6" s="74">
        <f aca="true" t="shared" si="0" ref="M6:M19">E6+K6</f>
        <v>0</v>
      </c>
      <c r="N6" s="75">
        <f aca="true" t="shared" si="1" ref="N6:N19">D6+I6+H6</f>
        <v>1</v>
      </c>
      <c r="O6" s="75">
        <f aca="true" t="shared" si="2" ref="O6:O19">IF(F6="",0,D6/F6)</f>
        <v>0</v>
      </c>
      <c r="P6" s="75">
        <f aca="true" t="shared" si="3" ref="P6:P19">IF(F6="",0,N6/F6)</f>
        <v>88.98380494749956</v>
      </c>
      <c r="Q6" s="75">
        <f aca="true" t="shared" si="4" ref="Q6:Q19">IF(F6="",0,(D6+I6)/F6)</f>
        <v>88.98380494749956</v>
      </c>
      <c r="R6" s="75">
        <f aca="true" t="shared" si="5" ref="R6:R19">IF(F6="",0,(M6+J6)/F6)</f>
        <v>1156.7894643174943</v>
      </c>
      <c r="S6" s="75">
        <f aca="true" t="shared" si="6" ref="S6:S19">IF((D6+I6)=0,0,(M6+J6)/(D6+I6))</f>
        <v>13</v>
      </c>
      <c r="T6" s="25"/>
      <c r="U6" s="76"/>
      <c r="V6" s="77"/>
      <c r="W6" s="29"/>
      <c r="X6" s="16"/>
      <c r="Z6" s="4"/>
      <c r="AA6" s="13"/>
      <c r="AB6" s="13"/>
      <c r="AC6" s="13"/>
    </row>
    <row r="7" spans="1:29" ht="12.75">
      <c r="A7" s="70" t="s">
        <v>37</v>
      </c>
      <c r="B7" s="71" t="s">
        <v>38</v>
      </c>
      <c r="C7" t="s">
        <v>24</v>
      </c>
      <c r="D7" s="41">
        <v>8</v>
      </c>
      <c r="E7" s="41">
        <v>196</v>
      </c>
      <c r="F7" s="94">
        <v>1.132899</v>
      </c>
      <c r="G7" s="41">
        <v>597</v>
      </c>
      <c r="H7" s="41">
        <v>1</v>
      </c>
      <c r="I7" s="41">
        <v>11</v>
      </c>
      <c r="J7" s="41">
        <v>309</v>
      </c>
      <c r="K7" s="41">
        <v>112</v>
      </c>
      <c r="L7" s="73">
        <v>8</v>
      </c>
      <c r="M7" s="74">
        <f t="shared" si="0"/>
        <v>308</v>
      </c>
      <c r="N7" s="75">
        <f t="shared" si="1"/>
        <v>20</v>
      </c>
      <c r="O7" s="75">
        <f t="shared" si="2"/>
        <v>7.061529756845049</v>
      </c>
      <c r="P7" s="75">
        <f t="shared" si="3"/>
        <v>17.65382439211262</v>
      </c>
      <c r="Q7" s="75">
        <f t="shared" si="4"/>
        <v>16.771133172506993</v>
      </c>
      <c r="R7" s="75">
        <f t="shared" si="5"/>
        <v>544.6204824966744</v>
      </c>
      <c r="S7" s="75">
        <f t="shared" si="6"/>
        <v>32.473684210526315</v>
      </c>
      <c r="T7" s="25"/>
      <c r="U7" s="76"/>
      <c r="V7" s="77"/>
      <c r="W7" s="29"/>
      <c r="X7" s="16"/>
      <c r="Z7" s="4"/>
      <c r="AA7" s="13"/>
      <c r="AB7" s="13"/>
      <c r="AC7" s="13"/>
    </row>
    <row r="8" spans="1:29" ht="12.75">
      <c r="A8" s="70" t="s">
        <v>39</v>
      </c>
      <c r="B8" s="71" t="s">
        <v>40</v>
      </c>
      <c r="C8" t="s">
        <v>14</v>
      </c>
      <c r="D8" s="41">
        <v>0</v>
      </c>
      <c r="E8" s="41">
        <v>0</v>
      </c>
      <c r="F8" s="94">
        <v>0.006037</v>
      </c>
      <c r="G8" s="41">
        <v>11</v>
      </c>
      <c r="H8" s="41">
        <v>0</v>
      </c>
      <c r="I8" s="41">
        <v>0</v>
      </c>
      <c r="J8" s="41">
        <v>0</v>
      </c>
      <c r="K8" s="41">
        <v>0</v>
      </c>
      <c r="L8" s="73">
        <v>0</v>
      </c>
      <c r="M8" s="74">
        <f t="shared" si="0"/>
        <v>0</v>
      </c>
      <c r="N8" s="75">
        <f t="shared" si="1"/>
        <v>0</v>
      </c>
      <c r="O8" s="75">
        <f t="shared" si="2"/>
        <v>0</v>
      </c>
      <c r="P8" s="75">
        <f t="shared" si="3"/>
        <v>0</v>
      </c>
      <c r="Q8" s="75">
        <f t="shared" si="4"/>
        <v>0</v>
      </c>
      <c r="R8" s="75">
        <f t="shared" si="5"/>
        <v>0</v>
      </c>
      <c r="S8" s="75">
        <f t="shared" si="6"/>
        <v>0</v>
      </c>
      <c r="T8" s="25"/>
      <c r="U8" s="76"/>
      <c r="V8" s="77"/>
      <c r="W8" s="29"/>
      <c r="X8" s="16"/>
      <c r="Z8" s="4"/>
      <c r="AA8" s="13"/>
      <c r="AB8" s="13"/>
      <c r="AC8" s="13"/>
    </row>
    <row r="9" spans="1:29" ht="12.75">
      <c r="A9" s="70" t="s">
        <v>41</v>
      </c>
      <c r="B9" s="71" t="s">
        <v>42</v>
      </c>
      <c r="C9" t="s">
        <v>28</v>
      </c>
      <c r="D9" s="41">
        <v>3</v>
      </c>
      <c r="E9" s="41">
        <v>33</v>
      </c>
      <c r="F9" s="94">
        <f>0.318782+0.081571</f>
        <v>0.400353</v>
      </c>
      <c r="G9" s="41">
        <v>537</v>
      </c>
      <c r="H9" s="41">
        <v>0</v>
      </c>
      <c r="I9" s="41">
        <v>17</v>
      </c>
      <c r="J9" s="41">
        <v>219</v>
      </c>
      <c r="K9" s="41">
        <v>16</v>
      </c>
      <c r="L9" s="73">
        <v>0</v>
      </c>
      <c r="M9" s="74">
        <f t="shared" si="0"/>
        <v>49</v>
      </c>
      <c r="N9" s="75">
        <f t="shared" si="1"/>
        <v>20</v>
      </c>
      <c r="O9" s="75">
        <f t="shared" si="2"/>
        <v>7.493387085896696</v>
      </c>
      <c r="P9" s="75">
        <f t="shared" si="3"/>
        <v>49.95591390597797</v>
      </c>
      <c r="Q9" s="75">
        <f t="shared" si="4"/>
        <v>49.95591390597797</v>
      </c>
      <c r="R9" s="75">
        <f t="shared" si="5"/>
        <v>669.4092463401048</v>
      </c>
      <c r="S9" s="75">
        <f t="shared" si="6"/>
        <v>13.4</v>
      </c>
      <c r="T9" s="25"/>
      <c r="U9" s="76"/>
      <c r="V9" s="77"/>
      <c r="W9" s="29"/>
      <c r="X9" s="25"/>
      <c r="Y9" s="16"/>
      <c r="Z9" s="4"/>
      <c r="AA9" s="13"/>
      <c r="AB9" s="13"/>
      <c r="AC9" s="13"/>
    </row>
    <row r="10" spans="1:29" ht="12.75">
      <c r="A10" s="78" t="s">
        <v>44</v>
      </c>
      <c r="B10" s="71" t="s">
        <v>43</v>
      </c>
      <c r="C10" t="s">
        <v>1</v>
      </c>
      <c r="D10" s="41">
        <v>4</v>
      </c>
      <c r="E10" s="41">
        <v>34</v>
      </c>
      <c r="F10" s="94">
        <v>0.213787</v>
      </c>
      <c r="G10" s="41">
        <v>272</v>
      </c>
      <c r="H10" s="41">
        <v>30</v>
      </c>
      <c r="I10" s="41">
        <v>0</v>
      </c>
      <c r="J10" s="41">
        <v>0</v>
      </c>
      <c r="K10" s="41">
        <v>0</v>
      </c>
      <c r="L10" s="73">
        <v>2</v>
      </c>
      <c r="M10" s="74">
        <f t="shared" si="0"/>
        <v>34</v>
      </c>
      <c r="N10" s="75">
        <f t="shared" si="1"/>
        <v>34</v>
      </c>
      <c r="O10" s="75">
        <f t="shared" si="2"/>
        <v>18.71021156571728</v>
      </c>
      <c r="P10" s="75">
        <f t="shared" si="3"/>
        <v>159.03679830859687</v>
      </c>
      <c r="Q10" s="75">
        <f t="shared" si="4"/>
        <v>18.71021156571728</v>
      </c>
      <c r="R10" s="75">
        <f t="shared" si="5"/>
        <v>159.03679830859687</v>
      </c>
      <c r="S10" s="75">
        <f t="shared" si="6"/>
        <v>8.5</v>
      </c>
      <c r="T10" s="25"/>
      <c r="U10" s="76"/>
      <c r="V10" s="77"/>
      <c r="W10" s="29"/>
      <c r="X10" s="16"/>
      <c r="Z10" s="4"/>
      <c r="AA10" s="13"/>
      <c r="AB10" s="13"/>
      <c r="AC10" s="13"/>
    </row>
    <row r="11" spans="1:29" ht="12.75">
      <c r="A11" s="79" t="s">
        <v>46</v>
      </c>
      <c r="B11" s="24" t="s">
        <v>45</v>
      </c>
      <c r="C11" t="s">
        <v>2</v>
      </c>
      <c r="D11" s="41">
        <v>9</v>
      </c>
      <c r="E11" s="41">
        <v>121</v>
      </c>
      <c r="F11" s="94">
        <v>0.572313</v>
      </c>
      <c r="G11" s="41">
        <v>175</v>
      </c>
      <c r="H11" s="41">
        <v>7</v>
      </c>
      <c r="I11" s="41">
        <v>5</v>
      </c>
      <c r="J11" s="41">
        <v>44</v>
      </c>
      <c r="K11" s="41">
        <v>232</v>
      </c>
      <c r="L11" s="73">
        <v>0</v>
      </c>
      <c r="M11" s="74">
        <f t="shared" si="0"/>
        <v>353</v>
      </c>
      <c r="N11" s="75">
        <f t="shared" si="1"/>
        <v>21</v>
      </c>
      <c r="O11" s="75">
        <f t="shared" si="2"/>
        <v>15.725660608792742</v>
      </c>
      <c r="P11" s="75">
        <f t="shared" si="3"/>
        <v>36.693208087183066</v>
      </c>
      <c r="Q11" s="75">
        <f t="shared" si="4"/>
        <v>24.46213872478871</v>
      </c>
      <c r="R11" s="75">
        <f t="shared" si="5"/>
        <v>693.6763624100798</v>
      </c>
      <c r="S11" s="75">
        <f t="shared" si="6"/>
        <v>28.357142857142858</v>
      </c>
      <c r="T11" s="25"/>
      <c r="U11" s="76"/>
      <c r="V11" s="77"/>
      <c r="W11" s="25"/>
      <c r="Z11" s="4"/>
      <c r="AA11" s="13"/>
      <c r="AB11" s="13"/>
      <c r="AC11" s="13"/>
    </row>
    <row r="12" spans="1:29" ht="12.75">
      <c r="A12" s="79"/>
      <c r="B12" s="24"/>
      <c r="C12" t="s">
        <v>9</v>
      </c>
      <c r="D12" s="41">
        <v>6</v>
      </c>
      <c r="E12" s="41">
        <v>12</v>
      </c>
      <c r="F12" s="94">
        <v>0.490622</v>
      </c>
      <c r="G12" s="41">
        <v>692</v>
      </c>
      <c r="H12" s="41">
        <v>5</v>
      </c>
      <c r="I12" s="41">
        <v>4</v>
      </c>
      <c r="J12" s="41">
        <v>20</v>
      </c>
      <c r="K12" s="41">
        <v>25</v>
      </c>
      <c r="L12" s="73">
        <v>1</v>
      </c>
      <c r="M12" s="74">
        <f t="shared" si="0"/>
        <v>37</v>
      </c>
      <c r="N12" s="75">
        <f t="shared" si="1"/>
        <v>15</v>
      </c>
      <c r="O12" s="75">
        <f t="shared" si="2"/>
        <v>12.229374141396024</v>
      </c>
      <c r="P12" s="75">
        <f t="shared" si="3"/>
        <v>30.57343535349006</v>
      </c>
      <c r="Q12" s="75">
        <f t="shared" si="4"/>
        <v>20.38229023566004</v>
      </c>
      <c r="R12" s="75">
        <f t="shared" si="5"/>
        <v>116.17905434326222</v>
      </c>
      <c r="S12" s="75">
        <f t="shared" si="6"/>
        <v>5.7</v>
      </c>
      <c r="T12" s="25"/>
      <c r="U12" s="76"/>
      <c r="V12" s="77"/>
      <c r="W12" s="25"/>
      <c r="Z12" s="4"/>
      <c r="AA12" s="13"/>
      <c r="AB12" s="13"/>
      <c r="AC12" s="13"/>
    </row>
    <row r="13" spans="1:29" ht="14.25" customHeight="1">
      <c r="A13" s="78" t="s">
        <v>47</v>
      </c>
      <c r="B13" s="71"/>
      <c r="C13" t="s">
        <v>8</v>
      </c>
      <c r="D13" s="41">
        <v>1</v>
      </c>
      <c r="E13" s="41">
        <v>0</v>
      </c>
      <c r="F13" s="94">
        <v>0.624667</v>
      </c>
      <c r="G13" s="41">
        <v>607</v>
      </c>
      <c r="H13" s="41">
        <v>0</v>
      </c>
      <c r="I13" s="41">
        <v>0</v>
      </c>
      <c r="J13" s="41">
        <v>0</v>
      </c>
      <c r="K13" s="41">
        <v>0</v>
      </c>
      <c r="L13" s="73">
        <v>13</v>
      </c>
      <c r="M13" s="74">
        <f t="shared" si="0"/>
        <v>0</v>
      </c>
      <c r="N13" s="75">
        <f t="shared" si="1"/>
        <v>1</v>
      </c>
      <c r="O13" s="75">
        <f t="shared" si="2"/>
        <v>1.6008529344434717</v>
      </c>
      <c r="P13" s="75">
        <f t="shared" si="3"/>
        <v>1.6008529344434717</v>
      </c>
      <c r="Q13" s="75">
        <f t="shared" si="4"/>
        <v>1.6008529344434717</v>
      </c>
      <c r="R13" s="75">
        <f t="shared" si="5"/>
        <v>0</v>
      </c>
      <c r="S13" s="75">
        <f t="shared" si="6"/>
        <v>0</v>
      </c>
      <c r="T13" s="25"/>
      <c r="U13" s="76"/>
      <c r="V13" s="77"/>
      <c r="W13" s="29"/>
      <c r="X13" s="16"/>
      <c r="Z13" s="4"/>
      <c r="AA13" s="13"/>
      <c r="AB13" s="13"/>
      <c r="AC13" s="13"/>
    </row>
    <row r="14" spans="1:29" ht="12.75">
      <c r="A14" s="70" t="s">
        <v>48</v>
      </c>
      <c r="B14" s="71" t="s">
        <v>49</v>
      </c>
      <c r="C14" t="s">
        <v>25</v>
      </c>
      <c r="D14" s="41">
        <v>0</v>
      </c>
      <c r="E14" s="41">
        <v>0</v>
      </c>
      <c r="F14" s="94">
        <v>0.498502</v>
      </c>
      <c r="G14" s="41">
        <v>706</v>
      </c>
      <c r="H14" s="41">
        <v>1</v>
      </c>
      <c r="I14" s="41">
        <v>2</v>
      </c>
      <c r="J14" s="41">
        <v>9</v>
      </c>
      <c r="K14" s="41">
        <v>0</v>
      </c>
      <c r="L14" s="73">
        <v>2</v>
      </c>
      <c r="M14" s="74">
        <f t="shared" si="0"/>
        <v>0</v>
      </c>
      <c r="N14" s="75">
        <f t="shared" si="1"/>
        <v>3</v>
      </c>
      <c r="O14" s="75">
        <f t="shared" si="2"/>
        <v>0</v>
      </c>
      <c r="P14" s="75">
        <f t="shared" si="3"/>
        <v>6.01803001793373</v>
      </c>
      <c r="Q14" s="75">
        <f t="shared" si="4"/>
        <v>4.01202001195582</v>
      </c>
      <c r="R14" s="75">
        <f t="shared" si="5"/>
        <v>18.05409005380119</v>
      </c>
      <c r="S14" s="75">
        <f t="shared" si="6"/>
        <v>4.5</v>
      </c>
      <c r="T14" s="25"/>
      <c r="U14" s="76"/>
      <c r="V14" s="77"/>
      <c r="W14" s="29"/>
      <c r="X14" s="16"/>
      <c r="Z14" s="4"/>
      <c r="AA14" s="13"/>
      <c r="AB14" s="13"/>
      <c r="AC14" s="13"/>
    </row>
    <row r="15" spans="1:29" ht="12.75">
      <c r="A15" s="70" t="s">
        <v>50</v>
      </c>
      <c r="B15" s="71" t="s">
        <v>51</v>
      </c>
      <c r="C15" t="s">
        <v>3</v>
      </c>
      <c r="D15" s="41">
        <v>15</v>
      </c>
      <c r="E15" s="41">
        <v>119</v>
      </c>
      <c r="F15" s="94">
        <v>1.004217</v>
      </c>
      <c r="G15" s="41">
        <v>905</v>
      </c>
      <c r="H15" s="41">
        <v>79</v>
      </c>
      <c r="I15" s="41">
        <v>27</v>
      </c>
      <c r="J15" s="41">
        <v>390</v>
      </c>
      <c r="K15" s="41">
        <v>75</v>
      </c>
      <c r="L15" s="73">
        <v>0</v>
      </c>
      <c r="M15" s="74">
        <f t="shared" si="0"/>
        <v>194</v>
      </c>
      <c r="N15" s="75">
        <f t="shared" si="1"/>
        <v>121</v>
      </c>
      <c r="O15" s="75">
        <f t="shared" si="2"/>
        <v>14.93701062618936</v>
      </c>
      <c r="P15" s="75">
        <f t="shared" si="3"/>
        <v>120.49188571792752</v>
      </c>
      <c r="Q15" s="75">
        <f t="shared" si="4"/>
        <v>41.82362975333021</v>
      </c>
      <c r="R15" s="75">
        <f t="shared" si="5"/>
        <v>581.5476137129724</v>
      </c>
      <c r="S15" s="75">
        <f t="shared" si="6"/>
        <v>13.904761904761905</v>
      </c>
      <c r="T15" s="25"/>
      <c r="U15" s="76"/>
      <c r="V15" s="77"/>
      <c r="W15" s="29"/>
      <c r="X15" s="16"/>
      <c r="Z15" s="4"/>
      <c r="AA15" s="13"/>
      <c r="AB15" s="13"/>
      <c r="AC15" s="13"/>
    </row>
    <row r="16" spans="1:29" ht="12.75">
      <c r="A16" s="70" t="s">
        <v>52</v>
      </c>
      <c r="B16" s="71" t="s">
        <v>53</v>
      </c>
      <c r="C16" t="s">
        <v>12</v>
      </c>
      <c r="D16" s="41">
        <v>3</v>
      </c>
      <c r="E16" s="41">
        <v>38</v>
      </c>
      <c r="F16" s="94">
        <v>0.446762</v>
      </c>
      <c r="G16" s="41">
        <v>426</v>
      </c>
      <c r="H16" s="41">
        <v>2</v>
      </c>
      <c r="I16" s="80">
        <v>6</v>
      </c>
      <c r="J16" s="41">
        <v>97</v>
      </c>
      <c r="K16" s="41">
        <v>129</v>
      </c>
      <c r="L16" s="73">
        <v>1</v>
      </c>
      <c r="M16" s="74">
        <f t="shared" si="0"/>
        <v>167</v>
      </c>
      <c r="N16" s="75">
        <f t="shared" si="1"/>
        <v>11</v>
      </c>
      <c r="O16" s="75">
        <f t="shared" si="2"/>
        <v>6.714984712218139</v>
      </c>
      <c r="P16" s="75">
        <f t="shared" si="3"/>
        <v>24.621610611466508</v>
      </c>
      <c r="Q16" s="75">
        <f t="shared" si="4"/>
        <v>20.144954136654416</v>
      </c>
      <c r="R16" s="75">
        <f t="shared" si="5"/>
        <v>590.9186546751962</v>
      </c>
      <c r="S16" s="75">
        <f t="shared" si="6"/>
        <v>29.333333333333332</v>
      </c>
      <c r="T16" s="25"/>
      <c r="U16" s="76"/>
      <c r="V16" s="77"/>
      <c r="W16" s="29"/>
      <c r="X16" s="16"/>
      <c r="Z16" s="4"/>
      <c r="AA16" s="13"/>
      <c r="AB16" s="13"/>
      <c r="AC16" s="13"/>
    </row>
    <row r="17" spans="1:29" ht="12.75">
      <c r="A17" s="70" t="s">
        <v>54</v>
      </c>
      <c r="B17" s="71" t="s">
        <v>55</v>
      </c>
      <c r="C17" t="s">
        <v>4</v>
      </c>
      <c r="D17" s="41">
        <v>5</v>
      </c>
      <c r="E17" s="41">
        <v>22</v>
      </c>
      <c r="F17" s="94">
        <v>0.513595</v>
      </c>
      <c r="G17" s="41">
        <v>579</v>
      </c>
      <c r="H17" s="41">
        <v>2</v>
      </c>
      <c r="I17" s="41">
        <v>8</v>
      </c>
      <c r="J17" s="41">
        <v>85</v>
      </c>
      <c r="K17" s="41">
        <v>21</v>
      </c>
      <c r="L17" s="73">
        <v>4</v>
      </c>
      <c r="M17" s="74">
        <f t="shared" si="0"/>
        <v>43</v>
      </c>
      <c r="N17" s="75">
        <f t="shared" si="1"/>
        <v>15</v>
      </c>
      <c r="O17" s="75">
        <f t="shared" si="2"/>
        <v>9.735297267302057</v>
      </c>
      <c r="P17" s="75">
        <f t="shared" si="3"/>
        <v>29.20589180190617</v>
      </c>
      <c r="Q17" s="75">
        <f t="shared" si="4"/>
        <v>25.311772894985346</v>
      </c>
      <c r="R17" s="75">
        <f t="shared" si="5"/>
        <v>249.22361004293265</v>
      </c>
      <c r="S17" s="75">
        <f t="shared" si="6"/>
        <v>9.846153846153847</v>
      </c>
      <c r="T17" s="25"/>
      <c r="U17" s="76"/>
      <c r="V17" s="77"/>
      <c r="W17" s="29"/>
      <c r="X17" s="16"/>
      <c r="Z17" s="4"/>
      <c r="AA17" s="13"/>
      <c r="AB17" s="13"/>
      <c r="AC17" s="13"/>
    </row>
    <row r="18" spans="1:29" ht="12.75">
      <c r="A18" s="70" t="s">
        <v>56</v>
      </c>
      <c r="B18" s="71" t="s">
        <v>57</v>
      </c>
      <c r="C18" t="s">
        <v>5</v>
      </c>
      <c r="D18" s="41">
        <v>1</v>
      </c>
      <c r="E18" s="41">
        <v>2</v>
      </c>
      <c r="F18" s="94">
        <v>0.519486</v>
      </c>
      <c r="G18" s="41">
        <v>425</v>
      </c>
      <c r="H18" s="41">
        <v>3</v>
      </c>
      <c r="I18" s="41">
        <v>1</v>
      </c>
      <c r="J18" s="41">
        <v>3</v>
      </c>
      <c r="K18" s="41">
        <v>0</v>
      </c>
      <c r="L18" s="73">
        <v>0</v>
      </c>
      <c r="M18" s="74">
        <f t="shared" si="0"/>
        <v>2</v>
      </c>
      <c r="N18" s="75">
        <f t="shared" si="1"/>
        <v>5</v>
      </c>
      <c r="O18" s="75">
        <f t="shared" si="2"/>
        <v>1.924979691464255</v>
      </c>
      <c r="P18" s="75">
        <f t="shared" si="3"/>
        <v>9.624898457321276</v>
      </c>
      <c r="Q18" s="75">
        <f t="shared" si="4"/>
        <v>3.84995938292851</v>
      </c>
      <c r="R18" s="75">
        <f t="shared" si="5"/>
        <v>9.624898457321276</v>
      </c>
      <c r="S18" s="75">
        <f t="shared" si="6"/>
        <v>2.5</v>
      </c>
      <c r="T18" s="25"/>
      <c r="U18" s="76"/>
      <c r="V18" s="77"/>
      <c r="W18" s="29"/>
      <c r="X18" s="16"/>
      <c r="Z18" s="4"/>
      <c r="AA18" s="13"/>
      <c r="AB18" s="13"/>
      <c r="AC18" s="13"/>
    </row>
    <row r="19" spans="1:29" ht="12.75">
      <c r="A19" s="79" t="s">
        <v>58</v>
      </c>
      <c r="B19" s="24" t="s">
        <v>59</v>
      </c>
      <c r="C19" t="s">
        <v>6</v>
      </c>
      <c r="D19" s="41">
        <v>0</v>
      </c>
      <c r="E19" s="41">
        <v>0</v>
      </c>
      <c r="F19" s="94">
        <v>0.571001</v>
      </c>
      <c r="G19" s="41">
        <v>588</v>
      </c>
      <c r="H19" s="41">
        <v>8</v>
      </c>
      <c r="I19" s="41">
        <v>0</v>
      </c>
      <c r="J19" s="41">
        <v>0</v>
      </c>
      <c r="K19" s="41">
        <v>0</v>
      </c>
      <c r="L19" s="73">
        <v>2</v>
      </c>
      <c r="M19" s="74">
        <f t="shared" si="0"/>
        <v>0</v>
      </c>
      <c r="N19" s="75">
        <f t="shared" si="1"/>
        <v>8</v>
      </c>
      <c r="O19" s="75">
        <f t="shared" si="2"/>
        <v>0</v>
      </c>
      <c r="P19" s="75">
        <f t="shared" si="3"/>
        <v>14.01048334416227</v>
      </c>
      <c r="Q19" s="75">
        <f t="shared" si="4"/>
        <v>0</v>
      </c>
      <c r="R19" s="75">
        <f t="shared" si="5"/>
        <v>0</v>
      </c>
      <c r="S19" s="75">
        <f t="shared" si="6"/>
        <v>0</v>
      </c>
      <c r="T19" s="25"/>
      <c r="U19" s="76"/>
      <c r="V19" s="77"/>
      <c r="W19" s="29"/>
      <c r="X19" s="16"/>
      <c r="Z19" s="4"/>
      <c r="AA19" s="13"/>
      <c r="AB19" s="13"/>
      <c r="AC19" s="13"/>
    </row>
    <row r="20" spans="2:24" ht="12.75">
      <c r="B20" s="6"/>
      <c r="C20" s="72"/>
      <c r="D20" s="40"/>
      <c r="E20" s="40"/>
      <c r="F20" s="44"/>
      <c r="G20" s="40"/>
      <c r="H20" s="41"/>
      <c r="I20" s="41"/>
      <c r="J20" s="41"/>
      <c r="K20" s="41"/>
      <c r="L20" s="41"/>
      <c r="M20" s="75"/>
      <c r="N20" s="75"/>
      <c r="O20" s="75"/>
      <c r="P20" s="75"/>
      <c r="Q20" s="75"/>
      <c r="R20" s="75"/>
      <c r="S20" s="75"/>
      <c r="U20" s="76"/>
      <c r="V20" s="81"/>
      <c r="W20" s="29"/>
      <c r="X20" s="16"/>
    </row>
    <row r="21" spans="2:24" ht="13.5" thickBot="1">
      <c r="B21" s="6"/>
      <c r="C21" s="82" t="s">
        <v>60</v>
      </c>
      <c r="D21" s="43">
        <f aca="true" t="shared" si="7" ref="D21:N21">SUM(D5:D20)</f>
        <v>55</v>
      </c>
      <c r="E21" s="43">
        <f t="shared" si="7"/>
        <v>577</v>
      </c>
      <c r="F21" s="45">
        <f t="shared" si="7"/>
        <v>7.005478999999999</v>
      </c>
      <c r="G21" s="43">
        <f t="shared" si="7"/>
        <v>6613</v>
      </c>
      <c r="H21" s="43">
        <f t="shared" si="7"/>
        <v>138</v>
      </c>
      <c r="I21" s="43">
        <f t="shared" si="7"/>
        <v>82</v>
      </c>
      <c r="J21" s="43">
        <f t="shared" si="7"/>
        <v>1189</v>
      </c>
      <c r="K21" s="43">
        <f t="shared" si="7"/>
        <v>610</v>
      </c>
      <c r="L21" s="43">
        <f t="shared" si="7"/>
        <v>33</v>
      </c>
      <c r="M21" s="43">
        <f t="shared" si="7"/>
        <v>1187</v>
      </c>
      <c r="N21" s="43">
        <f t="shared" si="7"/>
        <v>275</v>
      </c>
      <c r="O21" s="51">
        <f>IF(F21=0,0,D21/F21)</f>
        <v>7.850997769031926</v>
      </c>
      <c r="P21" s="51">
        <f>IF(F21=0,0,N21/F21)</f>
        <v>39.25498884515963</v>
      </c>
      <c r="Q21" s="51">
        <f>IF(F21=0,0,(D21+I21)/F21)</f>
        <v>19.556121715588613</v>
      </c>
      <c r="R21" s="43">
        <f>IF(F21=0,0,(M21+J21)/F21)</f>
        <v>339.16310362217916</v>
      </c>
      <c r="S21" s="51">
        <f>IF((D21+I21)=0,"",(M21+J21)/(D21+I21))</f>
        <v>17.343065693430656</v>
      </c>
      <c r="W21" s="29"/>
      <c r="X21" s="16"/>
    </row>
    <row r="22" spans="3:24" ht="12.75">
      <c r="C22" s="38"/>
      <c r="D22" s="40"/>
      <c r="E22" s="40"/>
      <c r="F22" s="44"/>
      <c r="G22" s="40"/>
      <c r="H22" s="42"/>
      <c r="I22" s="42"/>
      <c r="J22" s="42"/>
      <c r="K22" s="42"/>
      <c r="L22" s="42"/>
      <c r="M22" s="42"/>
      <c r="N22" s="41"/>
      <c r="O22" s="83"/>
      <c r="P22" s="50"/>
      <c r="Q22" s="50"/>
      <c r="R22" s="41"/>
      <c r="S22" s="50"/>
      <c r="W22" s="29"/>
      <c r="X22" s="16"/>
    </row>
    <row r="23" spans="3:24" ht="12.75">
      <c r="C23" s="16"/>
      <c r="D23" s="84"/>
      <c r="E23" s="84"/>
      <c r="F23" s="95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5"/>
      <c r="W23" s="16"/>
      <c r="X23" s="16"/>
    </row>
    <row r="24" spans="3:19" ht="12.75">
      <c r="C24" s="18"/>
      <c r="D24" s="84"/>
      <c r="E24" s="84"/>
      <c r="F24" s="95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5"/>
    </row>
    <row r="25" spans="3:13" ht="12.75">
      <c r="C25" s="5"/>
      <c r="D25" s="86"/>
      <c r="E25" s="86"/>
      <c r="F25" s="96"/>
      <c r="G25" s="86"/>
      <c r="L25" s="84"/>
      <c r="M25" s="84"/>
    </row>
    <row r="26" spans="3:13" ht="12.75">
      <c r="C26" s="5"/>
      <c r="D26" s="87"/>
      <c r="E26" s="87"/>
      <c r="F26" s="97"/>
      <c r="G26" s="87"/>
      <c r="L26" s="84"/>
      <c r="M26" s="84"/>
    </row>
    <row r="27" spans="3:13" ht="12.75">
      <c r="C27" s="5"/>
      <c r="D27" s="88"/>
      <c r="E27" s="88"/>
      <c r="F27" s="96"/>
      <c r="G27" s="88"/>
      <c r="L27" s="84"/>
      <c r="M27" s="84"/>
    </row>
    <row r="28" spans="3:13" ht="12.75">
      <c r="C28" s="5"/>
      <c r="D28" s="88"/>
      <c r="E28" s="88"/>
      <c r="F28" s="96"/>
      <c r="G28" s="88"/>
      <c r="L28" s="84"/>
      <c r="M28" s="84"/>
    </row>
    <row r="29" spans="1:13" ht="12.75">
      <c r="A29" s="70"/>
      <c r="C29" s="7"/>
      <c r="D29" s="86"/>
      <c r="E29" s="86"/>
      <c r="F29" s="96"/>
      <c r="G29" s="86"/>
      <c r="L29" s="84"/>
      <c r="M29" s="84"/>
    </row>
    <row r="30" spans="1:13" ht="12.75">
      <c r="A30" s="70"/>
      <c r="C30" s="70"/>
      <c r="D30" s="52"/>
      <c r="E30" s="52"/>
      <c r="G30" s="52"/>
      <c r="L30" s="84"/>
      <c r="M30" s="84"/>
    </row>
    <row r="31" spans="1:13" ht="12.75">
      <c r="A31" s="70"/>
      <c r="C31" s="70"/>
      <c r="D31" s="52"/>
      <c r="E31" s="52"/>
      <c r="G31" s="52"/>
      <c r="L31" s="84"/>
      <c r="M31" s="84"/>
    </row>
    <row r="32" spans="1:13" ht="12.75">
      <c r="A32" s="78"/>
      <c r="B32" s="6"/>
      <c r="C32" s="70"/>
      <c r="D32" s="52"/>
      <c r="E32" s="52"/>
      <c r="G32" s="52"/>
      <c r="L32" s="84"/>
      <c r="M32" s="84"/>
    </row>
    <row r="33" spans="1:7" ht="12.75">
      <c r="A33" s="79"/>
      <c r="B33" s="6"/>
      <c r="C33" s="70"/>
      <c r="D33" s="89"/>
      <c r="E33" s="89"/>
      <c r="F33" s="96"/>
      <c r="G33" s="89"/>
    </row>
    <row r="34" spans="1:7" ht="12.75">
      <c r="A34" s="70"/>
      <c r="B34" s="6"/>
      <c r="C34" s="70"/>
      <c r="D34" s="89"/>
      <c r="E34" s="89"/>
      <c r="F34" s="96"/>
      <c r="G34" s="89"/>
    </row>
    <row r="35" spans="1:7" ht="12.75">
      <c r="A35" s="78"/>
      <c r="B35" s="6"/>
      <c r="C35" s="70"/>
      <c r="D35" s="52"/>
      <c r="E35" s="52"/>
      <c r="G35" s="52"/>
    </row>
    <row r="36" spans="1:7" ht="12.75">
      <c r="A36" s="70"/>
      <c r="B36" s="6"/>
      <c r="C36" s="78"/>
      <c r="D36" s="89"/>
      <c r="E36" s="89"/>
      <c r="F36" s="96"/>
      <c r="G36" s="89"/>
    </row>
    <row r="37" spans="1:7" ht="12.75">
      <c r="A37" s="70"/>
      <c r="B37" s="6"/>
      <c r="C37" s="70"/>
      <c r="D37" s="52"/>
      <c r="E37" s="52"/>
      <c r="G37" s="52"/>
    </row>
    <row r="38" spans="1:7" ht="12.75">
      <c r="A38" s="70"/>
      <c r="B38" s="6"/>
      <c r="C38" s="79"/>
      <c r="D38" s="52"/>
      <c r="E38" s="52"/>
      <c r="G38" s="52"/>
    </row>
    <row r="39" spans="1:7" ht="12.75">
      <c r="A39" s="70"/>
      <c r="B39" s="6"/>
      <c r="C39" s="70"/>
      <c r="D39" s="89"/>
      <c r="E39" s="89"/>
      <c r="F39" s="96"/>
      <c r="G39" s="89"/>
    </row>
    <row r="40" spans="1:7" ht="12.75">
      <c r="A40" s="70"/>
      <c r="B40" s="6"/>
      <c r="C40" s="70"/>
      <c r="D40" s="89"/>
      <c r="E40" s="89"/>
      <c r="F40" s="96"/>
      <c r="G40" s="89"/>
    </row>
    <row r="41" spans="1:7" ht="12.75">
      <c r="A41" s="79"/>
      <c r="B41" s="30"/>
      <c r="C41" s="70"/>
      <c r="D41" s="89"/>
      <c r="E41" s="89"/>
      <c r="F41" s="96"/>
      <c r="G41" s="89"/>
    </row>
    <row r="42" spans="1:7" ht="12.75">
      <c r="A42" s="70"/>
      <c r="B42" s="6"/>
      <c r="C42" s="70"/>
      <c r="D42" s="89"/>
      <c r="E42" s="89"/>
      <c r="F42" s="96"/>
      <c r="G42" s="89"/>
    </row>
    <row r="43" spans="1:7" ht="12.75">
      <c r="A43" s="70"/>
      <c r="B43" s="6"/>
      <c r="C43" s="79"/>
      <c r="D43" s="89"/>
      <c r="E43" s="89"/>
      <c r="F43" s="96"/>
      <c r="G43" s="89"/>
    </row>
    <row r="44" spans="1:7" ht="12.75">
      <c r="A44" s="70"/>
      <c r="B44" s="6"/>
      <c r="C44" s="79"/>
      <c r="D44" s="52"/>
      <c r="E44" s="52"/>
      <c r="G44" s="52"/>
    </row>
    <row r="45" spans="1:7" ht="12.75">
      <c r="A45" s="78"/>
      <c r="B45" s="6"/>
      <c r="C45" s="70"/>
      <c r="D45" s="52"/>
      <c r="E45" s="52"/>
      <c r="G45" s="52"/>
    </row>
    <row r="46" spans="1:7" ht="12.75">
      <c r="A46" s="78"/>
      <c r="B46" s="6"/>
      <c r="C46" s="70"/>
      <c r="D46" s="89"/>
      <c r="E46" s="89"/>
      <c r="F46" s="96"/>
      <c r="G46" s="89"/>
    </row>
    <row r="47" spans="1:7" ht="12.75">
      <c r="A47" s="70"/>
      <c r="B47" s="6"/>
      <c r="C47" s="79"/>
      <c r="D47" s="52"/>
      <c r="E47" s="52"/>
      <c r="G47" s="52"/>
    </row>
    <row r="48" spans="1:7" ht="12.75">
      <c r="A48" s="70"/>
      <c r="B48" s="6"/>
      <c r="C48" s="70"/>
      <c r="D48" s="52"/>
      <c r="E48" s="52"/>
      <c r="G48" s="52"/>
    </row>
    <row r="49" spans="1:7" ht="12.75">
      <c r="A49" s="79"/>
      <c r="B49" s="6"/>
      <c r="C49" s="70"/>
      <c r="D49" s="89"/>
      <c r="E49" s="89"/>
      <c r="F49" s="96"/>
      <c r="G49" s="89"/>
    </row>
    <row r="50" spans="1:7" ht="12.75">
      <c r="A50" s="70"/>
      <c r="B50" s="6"/>
      <c r="C50" s="70"/>
      <c r="D50" s="52"/>
      <c r="E50" s="52"/>
      <c r="G50" s="52"/>
    </row>
    <row r="51" spans="1:7" ht="12.75">
      <c r="A51" s="70"/>
      <c r="B51" s="6"/>
      <c r="C51" s="70"/>
      <c r="D51" s="52"/>
      <c r="E51" s="52"/>
      <c r="G51" s="52"/>
    </row>
    <row r="52" spans="1:7" ht="12.75">
      <c r="A52" s="79"/>
      <c r="B52" s="6"/>
      <c r="C52" s="70"/>
      <c r="D52" s="89"/>
      <c r="E52" s="89"/>
      <c r="F52" s="96"/>
      <c r="G52" s="89"/>
    </row>
    <row r="53" spans="1:7" ht="12.75">
      <c r="A53" s="79"/>
      <c r="B53" s="6"/>
      <c r="C53" s="70"/>
      <c r="D53" s="89"/>
      <c r="E53" s="89"/>
      <c r="F53" s="96"/>
      <c r="G53" s="89"/>
    </row>
    <row r="54" spans="1:7" ht="12.75">
      <c r="A54" s="70"/>
      <c r="B54" s="6"/>
      <c r="C54" s="70"/>
      <c r="D54" s="52"/>
      <c r="E54" s="52"/>
      <c r="G54" s="52"/>
    </row>
    <row r="55" spans="1:7" ht="12.75">
      <c r="A55" s="70"/>
      <c r="B55" s="6"/>
      <c r="C55" s="70"/>
      <c r="D55" s="52"/>
      <c r="E55" s="52"/>
      <c r="G55" s="52"/>
    </row>
    <row r="56" spans="1:7" ht="12.75">
      <c r="A56" s="79"/>
      <c r="B56" s="6"/>
      <c r="C56" s="78"/>
      <c r="D56" s="89"/>
      <c r="E56" s="89"/>
      <c r="F56" s="96"/>
      <c r="G56" s="89"/>
    </row>
    <row r="57" spans="1:7" ht="12.75">
      <c r="A57" s="79"/>
      <c r="B57" s="6"/>
      <c r="C57" s="70"/>
      <c r="D57" s="89"/>
      <c r="E57" s="89"/>
      <c r="F57" s="96"/>
      <c r="G57" s="89"/>
    </row>
    <row r="58" spans="1:7" ht="12.75">
      <c r="A58" s="79"/>
      <c r="B58" s="6"/>
      <c r="C58" s="79"/>
      <c r="D58" s="89"/>
      <c r="E58" s="89"/>
      <c r="F58" s="96"/>
      <c r="G58" s="89"/>
    </row>
    <row r="59" spans="1:7" ht="12.75">
      <c r="A59" s="79"/>
      <c r="B59" s="6"/>
      <c r="C59" s="78"/>
      <c r="D59" s="52"/>
      <c r="E59" s="52"/>
      <c r="G59" s="52"/>
    </row>
    <row r="60" spans="1:7" ht="12.75">
      <c r="A60" s="70"/>
      <c r="B60" s="6"/>
      <c r="C60" s="70"/>
      <c r="D60" s="89"/>
      <c r="E60" s="89"/>
      <c r="F60" s="96"/>
      <c r="G60" s="89"/>
    </row>
    <row r="61" spans="1:7" ht="12.75">
      <c r="A61" s="70"/>
      <c r="B61" s="6"/>
      <c r="C61" s="79"/>
      <c r="D61" s="52"/>
      <c r="E61" s="52"/>
      <c r="G61" s="52"/>
    </row>
    <row r="62" spans="1:3" ht="12.75">
      <c r="A62" s="70"/>
      <c r="B62" s="6"/>
      <c r="C62" s="78"/>
    </row>
    <row r="63" spans="1:7" ht="12.75">
      <c r="A63" s="70"/>
      <c r="B63" s="6"/>
      <c r="C63" s="70"/>
      <c r="D63" s="89"/>
      <c r="E63" s="89"/>
      <c r="F63" s="96"/>
      <c r="G63" s="89"/>
    </row>
    <row r="64" spans="1:7" ht="12.75">
      <c r="A64" s="70"/>
      <c r="B64" s="6"/>
      <c r="C64" s="79"/>
      <c r="D64" s="52"/>
      <c r="E64" s="52"/>
      <c r="G64" s="52"/>
    </row>
    <row r="65" spans="1:7" ht="12.75">
      <c r="A65" s="79"/>
      <c r="B65" s="6"/>
      <c r="C65" s="70"/>
      <c r="D65" s="89"/>
      <c r="E65" s="89"/>
      <c r="F65" s="96"/>
      <c r="G65" s="89"/>
    </row>
    <row r="66" spans="1:7" ht="12.75">
      <c r="A66" s="79"/>
      <c r="B66" s="6"/>
      <c r="C66" s="79"/>
      <c r="D66" s="89"/>
      <c r="E66" s="89"/>
      <c r="F66" s="96"/>
      <c r="G66" s="89"/>
    </row>
    <row r="67" spans="1:3" ht="12.75">
      <c r="A67" s="70"/>
      <c r="B67" s="6"/>
      <c r="C67" s="79"/>
    </row>
    <row r="68" spans="1:7" ht="12.75">
      <c r="A68" s="70"/>
      <c r="C68" s="70"/>
      <c r="D68" s="52"/>
      <c r="E68" s="52"/>
      <c r="G68" s="52"/>
    </row>
    <row r="69" spans="1:3" ht="12.75">
      <c r="A69" s="70"/>
      <c r="B69" s="6"/>
      <c r="C69" s="70"/>
    </row>
    <row r="70" spans="1:7" ht="12.75">
      <c r="A70" s="70"/>
      <c r="C70" s="79"/>
      <c r="D70" s="52"/>
      <c r="E70" s="52"/>
      <c r="G70" s="52"/>
    </row>
    <row r="71" spans="1:7" ht="12.75">
      <c r="A71" s="70"/>
      <c r="C71" s="70"/>
      <c r="D71" s="52"/>
      <c r="E71" s="52"/>
      <c r="G71" s="52"/>
    </row>
    <row r="72" spans="3:7" ht="12.75">
      <c r="C72" s="79"/>
      <c r="D72" s="52"/>
      <c r="E72" s="52"/>
      <c r="G72" s="52"/>
    </row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>
      <c r="A95" s="70"/>
    </row>
    <row r="96" ht="12.75">
      <c r="A96" s="70"/>
    </row>
    <row r="97" ht="12.75">
      <c r="A97" s="70"/>
    </row>
    <row r="98" spans="1:2" ht="12.75">
      <c r="A98" s="78"/>
      <c r="B98" s="6"/>
    </row>
    <row r="99" spans="1:2" ht="12.75">
      <c r="A99" s="79"/>
      <c r="B99" s="6"/>
    </row>
    <row r="100" spans="1:2" ht="12.75">
      <c r="A100" s="70"/>
      <c r="B100" s="6"/>
    </row>
    <row r="101" spans="1:2" ht="12.75">
      <c r="A101" s="78"/>
      <c r="B101" s="6"/>
    </row>
    <row r="102" spans="1:2" ht="12.75">
      <c r="A102" s="70"/>
      <c r="B102" s="6"/>
    </row>
    <row r="103" spans="1:2" ht="12.75">
      <c r="A103" s="70"/>
      <c r="B103" s="6"/>
    </row>
    <row r="104" spans="1:2" ht="12.75">
      <c r="A104" s="70"/>
      <c r="B104" s="6"/>
    </row>
    <row r="105" spans="1:2" ht="12.75">
      <c r="A105" s="70"/>
      <c r="B105" s="6"/>
    </row>
    <row r="106" spans="1:2" ht="12.75">
      <c r="A106" s="70"/>
      <c r="B106" s="6"/>
    </row>
    <row r="107" spans="1:2" ht="12.75">
      <c r="A107" s="79"/>
      <c r="B107" s="30"/>
    </row>
    <row r="108" spans="1:2" ht="12.75">
      <c r="A108" s="70"/>
      <c r="B108" s="6"/>
    </row>
    <row r="109" spans="1:2" ht="12.75">
      <c r="A109" s="70"/>
      <c r="B109" s="6"/>
    </row>
    <row r="110" spans="1:2" ht="12.75">
      <c r="A110" s="70"/>
      <c r="B110" s="6"/>
    </row>
    <row r="111" spans="1:2" ht="12.75">
      <c r="A111" s="78"/>
      <c r="B111" s="6"/>
    </row>
    <row r="112" spans="1:2" ht="12.75">
      <c r="A112" s="78"/>
      <c r="B112" s="6"/>
    </row>
    <row r="113" spans="1:2" ht="12.75">
      <c r="A113" s="70"/>
      <c r="B113" s="6"/>
    </row>
    <row r="114" spans="1:2" ht="12.75">
      <c r="A114" s="70"/>
      <c r="B114" s="6"/>
    </row>
    <row r="115" spans="1:2" ht="12.75">
      <c r="A115" s="79"/>
      <c r="B115" s="6"/>
    </row>
    <row r="116" spans="1:2" ht="12.75">
      <c r="A116" s="70"/>
      <c r="B116" s="6"/>
    </row>
    <row r="117" spans="1:2" ht="12.75">
      <c r="A117" s="70"/>
      <c r="B117" s="6"/>
    </row>
    <row r="118" spans="1:2" ht="12.75">
      <c r="A118" s="79"/>
      <c r="B118" s="6"/>
    </row>
    <row r="119" spans="1:2" ht="12.75">
      <c r="A119" s="79"/>
      <c r="B119" s="6"/>
    </row>
    <row r="120" spans="1:2" ht="12.75">
      <c r="A120" s="70"/>
      <c r="B120" s="6"/>
    </row>
    <row r="121" spans="1:2" ht="12.75">
      <c r="A121" s="70"/>
      <c r="B121" s="6"/>
    </row>
    <row r="122" spans="1:2" ht="12.75">
      <c r="A122" s="79"/>
      <c r="B122" s="6"/>
    </row>
    <row r="123" spans="1:2" ht="12.75">
      <c r="A123" s="79"/>
      <c r="B123" s="6"/>
    </row>
    <row r="124" spans="1:2" ht="12.75">
      <c r="A124" s="79"/>
      <c r="B124" s="6"/>
    </row>
    <row r="125" spans="1:2" ht="12.75">
      <c r="A125" s="79"/>
      <c r="B125" s="6"/>
    </row>
    <row r="126" spans="1:2" ht="12.75">
      <c r="A126" s="70"/>
      <c r="B126" s="6"/>
    </row>
    <row r="127" spans="1:2" ht="12.75">
      <c r="A127" s="70"/>
      <c r="B127" s="6"/>
    </row>
    <row r="128" spans="1:2" ht="12.75">
      <c r="A128" s="70"/>
      <c r="B128" s="6"/>
    </row>
    <row r="129" spans="1:2" ht="12.75">
      <c r="A129" s="70"/>
      <c r="B129" s="6"/>
    </row>
    <row r="130" spans="1:2" ht="12.75">
      <c r="A130" s="70"/>
      <c r="B130" s="6"/>
    </row>
    <row r="131" spans="1:2" ht="12.75">
      <c r="A131" s="79"/>
      <c r="B131" s="6"/>
    </row>
    <row r="132" spans="1:2" ht="12.75">
      <c r="A132" s="79"/>
      <c r="B132" s="6"/>
    </row>
    <row r="133" spans="1:2" ht="12.75">
      <c r="A133" s="70"/>
      <c r="B133" s="6"/>
    </row>
    <row r="134" spans="1:2" ht="12.75">
      <c r="A134" s="70"/>
      <c r="B134" s="6"/>
    </row>
    <row r="135" spans="1:2" ht="12.75">
      <c r="A135" s="70"/>
      <c r="B135" s="6"/>
    </row>
    <row r="136" spans="1:2" ht="12.75">
      <c r="A136" s="70"/>
      <c r="B136" s="6"/>
    </row>
    <row r="137" spans="1:2" ht="12.75">
      <c r="A137" s="70"/>
      <c r="B137" s="6"/>
    </row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spans="4:7" ht="12.75">
      <c r="D152" s="86"/>
      <c r="E152" s="86"/>
      <c r="F152" s="96"/>
      <c r="G152" s="86"/>
    </row>
    <row r="153" spans="3:7" ht="12.75">
      <c r="C153" s="5"/>
      <c r="D153" s="87"/>
      <c r="E153" s="87"/>
      <c r="F153" s="97"/>
      <c r="G153" s="87"/>
    </row>
    <row r="154" spans="3:7" ht="12.75">
      <c r="C154" s="5"/>
      <c r="D154" s="88"/>
      <c r="E154" s="88"/>
      <c r="F154" s="96"/>
      <c r="G154" s="88"/>
    </row>
    <row r="155" spans="3:7" ht="12.75">
      <c r="C155" s="5"/>
      <c r="D155" s="88"/>
      <c r="E155" s="88"/>
      <c r="F155" s="96"/>
      <c r="G155" s="88"/>
    </row>
    <row r="156" spans="1:7" ht="12.75">
      <c r="A156" s="70"/>
      <c r="D156" s="86"/>
      <c r="E156" s="86"/>
      <c r="F156" s="96"/>
      <c r="G156" s="86"/>
    </row>
    <row r="157" spans="1:7" ht="12.75">
      <c r="A157" s="70"/>
      <c r="C157" s="79"/>
      <c r="D157" s="52"/>
      <c r="E157" s="52"/>
      <c r="G157" s="52"/>
    </row>
    <row r="158" spans="1:7" ht="12.75">
      <c r="A158" s="70"/>
      <c r="C158" s="70"/>
      <c r="D158" s="52"/>
      <c r="E158" s="52"/>
      <c r="G158" s="52"/>
    </row>
    <row r="159" spans="1:7" ht="12.75">
      <c r="A159" s="78"/>
      <c r="B159" s="6"/>
      <c r="C159" s="70"/>
      <c r="D159" s="52"/>
      <c r="E159" s="52"/>
      <c r="G159" s="52"/>
    </row>
    <row r="160" spans="1:7" ht="12.75">
      <c r="A160" s="79"/>
      <c r="B160" s="6"/>
      <c r="C160" s="79"/>
      <c r="D160" s="52"/>
      <c r="E160" s="52"/>
      <c r="G160" s="52"/>
    </row>
    <row r="161" spans="1:7" ht="12.75">
      <c r="A161" s="70"/>
      <c r="B161" s="6"/>
      <c r="C161" s="79"/>
      <c r="D161" s="52"/>
      <c r="E161" s="52"/>
      <c r="G161" s="52"/>
    </row>
    <row r="162" spans="1:7" ht="12.75">
      <c r="A162" s="78"/>
      <c r="B162" s="6"/>
      <c r="C162" s="70"/>
      <c r="D162" s="52"/>
      <c r="E162" s="52"/>
      <c r="G162" s="52"/>
    </row>
    <row r="163" spans="1:7" ht="12.75">
      <c r="A163" s="70"/>
      <c r="B163" s="6"/>
      <c r="C163" s="70"/>
      <c r="D163" s="52"/>
      <c r="E163" s="52"/>
      <c r="G163" s="52"/>
    </row>
    <row r="164" spans="1:7" ht="12.75">
      <c r="A164" s="70"/>
      <c r="B164" s="6"/>
      <c r="C164" s="70"/>
      <c r="D164" s="52"/>
      <c r="E164" s="52"/>
      <c r="G164" s="52"/>
    </row>
    <row r="165" spans="1:7" ht="12.75">
      <c r="A165" s="70"/>
      <c r="B165" s="6"/>
      <c r="C165" s="70"/>
      <c r="D165" s="52"/>
      <c r="E165" s="52"/>
      <c r="G165" s="52"/>
    </row>
    <row r="166" spans="1:7" ht="12.75">
      <c r="A166" s="70"/>
      <c r="B166" s="6"/>
      <c r="C166" s="70"/>
      <c r="D166" s="52"/>
      <c r="E166" s="52"/>
      <c r="G166" s="52"/>
    </row>
    <row r="167" spans="1:7" ht="12.75">
      <c r="A167" s="70"/>
      <c r="B167" s="6"/>
      <c r="C167" s="70"/>
      <c r="D167" s="52"/>
      <c r="E167" s="52"/>
      <c r="G167" s="52"/>
    </row>
    <row r="168" spans="1:7" ht="12.75">
      <c r="A168" s="79"/>
      <c r="B168" s="30"/>
      <c r="C168" s="70"/>
      <c r="D168" s="52"/>
      <c r="E168" s="52"/>
      <c r="G168" s="52"/>
    </row>
    <row r="169" spans="1:7" ht="12.75">
      <c r="A169" s="70"/>
      <c r="B169" s="6"/>
      <c r="C169" s="70"/>
      <c r="D169" s="52"/>
      <c r="E169" s="52"/>
      <c r="G169" s="52"/>
    </row>
    <row r="170" spans="1:7" ht="12.75">
      <c r="A170" s="70"/>
      <c r="B170" s="6"/>
      <c r="C170" s="70"/>
      <c r="D170" s="52"/>
      <c r="E170" s="52"/>
      <c r="G170" s="52"/>
    </row>
    <row r="171" spans="1:7" ht="12.75">
      <c r="A171" s="70"/>
      <c r="B171" s="6"/>
      <c r="C171" s="70"/>
      <c r="D171" s="52"/>
      <c r="E171" s="52"/>
      <c r="G171" s="52"/>
    </row>
    <row r="172" spans="1:7" ht="12.75">
      <c r="A172" s="78"/>
      <c r="B172" s="6"/>
      <c r="C172" s="70"/>
      <c r="D172" s="52"/>
      <c r="E172" s="52"/>
      <c r="G172" s="52"/>
    </row>
    <row r="173" spans="1:7" ht="12.75">
      <c r="A173" s="78"/>
      <c r="B173" s="6"/>
      <c r="C173" s="70"/>
      <c r="D173" s="52"/>
      <c r="E173" s="52"/>
      <c r="G173" s="52"/>
    </row>
    <row r="174" spans="1:7" ht="12.75">
      <c r="A174" s="70"/>
      <c r="B174" s="6"/>
      <c r="C174" s="78"/>
      <c r="D174" s="52"/>
      <c r="E174" s="52"/>
      <c r="G174" s="52"/>
    </row>
    <row r="175" spans="1:7" ht="12.75">
      <c r="A175" s="70"/>
      <c r="B175" s="6"/>
      <c r="C175" s="79"/>
      <c r="D175" s="52"/>
      <c r="E175" s="52"/>
      <c r="G175" s="52"/>
    </row>
    <row r="176" spans="1:7" ht="12.75">
      <c r="A176" s="79"/>
      <c r="B176" s="6"/>
      <c r="C176" s="70"/>
      <c r="D176" s="52"/>
      <c r="E176" s="52"/>
      <c r="G176" s="52"/>
    </row>
    <row r="177" spans="1:7" ht="12.75">
      <c r="A177" s="70"/>
      <c r="B177" s="6"/>
      <c r="C177" s="70"/>
      <c r="D177" s="52"/>
      <c r="E177" s="52"/>
      <c r="G177" s="52"/>
    </row>
    <row r="178" spans="1:7" ht="12.75">
      <c r="A178" s="70"/>
      <c r="B178" s="6"/>
      <c r="C178" s="70"/>
      <c r="D178" s="52"/>
      <c r="E178" s="52"/>
      <c r="G178" s="52"/>
    </row>
    <row r="179" spans="1:7" ht="12.75">
      <c r="A179" s="79"/>
      <c r="B179" s="6"/>
      <c r="C179" s="70"/>
      <c r="D179" s="52"/>
      <c r="E179" s="52"/>
      <c r="G179" s="52"/>
    </row>
    <row r="180" spans="1:7" ht="12.75">
      <c r="A180" s="79"/>
      <c r="B180" s="6"/>
      <c r="C180" s="70"/>
      <c r="D180" s="52"/>
      <c r="E180" s="52"/>
      <c r="G180" s="52"/>
    </row>
    <row r="181" spans="1:7" ht="12.75">
      <c r="A181" s="70"/>
      <c r="B181" s="6"/>
      <c r="C181" s="70"/>
      <c r="D181" s="52"/>
      <c r="E181" s="52"/>
      <c r="G181" s="52"/>
    </row>
    <row r="182" spans="1:7" ht="12.75">
      <c r="A182" s="70"/>
      <c r="B182" s="6"/>
      <c r="C182" s="78"/>
      <c r="D182" s="52"/>
      <c r="E182" s="52"/>
      <c r="G182" s="52"/>
    </row>
    <row r="183" spans="1:7" ht="12.75">
      <c r="A183" s="79"/>
      <c r="B183" s="6"/>
      <c r="C183" s="79"/>
      <c r="D183" s="52"/>
      <c r="E183" s="52"/>
      <c r="G183" s="52"/>
    </row>
    <row r="184" spans="1:7" ht="12.75">
      <c r="A184" s="79"/>
      <c r="B184" s="6"/>
      <c r="C184" s="70"/>
      <c r="D184" s="52"/>
      <c r="E184" s="52"/>
      <c r="G184" s="52"/>
    </row>
    <row r="185" spans="1:7" ht="12.75">
      <c r="A185" s="79"/>
      <c r="B185" s="6"/>
      <c r="C185" s="78"/>
      <c r="D185" s="52"/>
      <c r="E185" s="52"/>
      <c r="G185" s="52"/>
    </row>
    <row r="186" spans="1:7" ht="12.75">
      <c r="A186" s="79"/>
      <c r="B186" s="6"/>
      <c r="C186" s="70"/>
      <c r="D186" s="52"/>
      <c r="E186" s="52"/>
      <c r="G186" s="52"/>
    </row>
    <row r="187" spans="1:3" ht="12.75">
      <c r="A187" s="70"/>
      <c r="B187" s="6"/>
      <c r="C187" s="78"/>
    </row>
    <row r="188" spans="1:7" ht="12.75">
      <c r="A188" s="70"/>
      <c r="B188" s="6"/>
      <c r="C188" s="79"/>
      <c r="D188" s="52"/>
      <c r="E188" s="52"/>
      <c r="G188" s="52"/>
    </row>
    <row r="189" spans="1:7" ht="12.75">
      <c r="A189" s="70"/>
      <c r="B189" s="6"/>
      <c r="C189" s="70"/>
      <c r="D189" s="52"/>
      <c r="E189" s="52"/>
      <c r="G189" s="52"/>
    </row>
    <row r="190" spans="1:7" ht="12.75">
      <c r="A190" s="70"/>
      <c r="B190" s="6"/>
      <c r="C190" s="70"/>
      <c r="D190" s="52"/>
      <c r="E190" s="52"/>
      <c r="G190" s="52"/>
    </row>
    <row r="191" spans="1:3" ht="12.75">
      <c r="A191" s="70"/>
      <c r="B191" s="6"/>
      <c r="C191" s="79"/>
    </row>
    <row r="192" spans="1:3" ht="12.75">
      <c r="A192" s="79"/>
      <c r="B192" s="6"/>
      <c r="C192" s="70"/>
    </row>
    <row r="193" spans="1:7" ht="12.75">
      <c r="A193" s="79"/>
      <c r="B193" s="6"/>
      <c r="C193" s="79"/>
      <c r="D193" s="52"/>
      <c r="E193" s="52"/>
      <c r="G193" s="52"/>
    </row>
    <row r="194" spans="1:7" ht="12.75">
      <c r="A194" s="70"/>
      <c r="B194" s="6"/>
      <c r="C194" s="79"/>
      <c r="D194" s="52"/>
      <c r="E194" s="52"/>
      <c r="G194" s="52"/>
    </row>
    <row r="195" spans="1:7" ht="12.75">
      <c r="A195" s="70"/>
      <c r="B195" s="6"/>
      <c r="C195" s="70"/>
      <c r="D195" s="52"/>
      <c r="E195" s="52"/>
      <c r="G195" s="52"/>
    </row>
    <row r="196" spans="1:7" ht="12.75">
      <c r="A196" s="70"/>
      <c r="B196" s="6"/>
      <c r="C196" s="79"/>
      <c r="D196" s="52"/>
      <c r="E196" s="52"/>
      <c r="G196" s="52"/>
    </row>
    <row r="197" spans="1:7" ht="12.75">
      <c r="A197" s="70"/>
      <c r="C197" s="79"/>
      <c r="D197" s="52"/>
      <c r="E197" s="52"/>
      <c r="G197" s="52"/>
    </row>
    <row r="198" spans="1:3" ht="12.75">
      <c r="A198" s="70"/>
      <c r="C198" s="70"/>
    </row>
    <row r="199" spans="3:7" ht="12.75">
      <c r="C199" s="70"/>
      <c r="D199" s="52"/>
      <c r="E199" s="52"/>
      <c r="G199" s="52"/>
    </row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</sheetData>
  <sheetProtection/>
  <printOptions/>
  <pageMargins left="0.15748031496062992" right="0.2362204724409449" top="0.31496062992125984" bottom="0.6692913385826772" header="0.2362204724409449" footer="0.5118110236220472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G151"/>
  <sheetViews>
    <sheetView zoomScalePageLayoutView="0" workbookViewId="0" topLeftCell="A82">
      <selection activeCell="F13" sqref="F13"/>
    </sheetView>
  </sheetViews>
  <sheetFormatPr defaultColWidth="9.140625" defaultRowHeight="12.75"/>
  <cols>
    <col min="1" max="1" width="39.28125" style="0" customWidth="1"/>
    <col min="2" max="3" width="10.421875" style="0" customWidth="1"/>
    <col min="4" max="4" width="10.8515625" style="0" customWidth="1"/>
    <col min="6" max="7" width="10.57421875" style="0" customWidth="1"/>
    <col min="9" max="9" width="11.57421875" style="0" customWidth="1"/>
    <col min="20" max="20" width="25.28125" style="0" customWidth="1"/>
    <col min="24" max="25" width="10.140625" style="0" customWidth="1"/>
    <col min="26" max="26" width="10.00390625" style="0" customWidth="1"/>
    <col min="28" max="28" width="9.421875" style="0" customWidth="1"/>
    <col min="30" max="30" width="13.421875" style="0" customWidth="1"/>
    <col min="31" max="31" width="10.57421875" style="0" customWidth="1"/>
    <col min="33" max="34" width="10.57421875" style="0" customWidth="1"/>
    <col min="35" max="35" width="10.00390625" style="0" customWidth="1"/>
    <col min="36" max="36" width="12.8515625" style="0" customWidth="1"/>
    <col min="57" max="57" width="17.57421875" style="0" customWidth="1"/>
    <col min="58" max="58" width="16.28125" style="0" customWidth="1"/>
  </cols>
  <sheetData>
    <row r="1" s="14" customFormat="1" ht="12.75"/>
    <row r="2" spans="1:82" ht="12.75">
      <c r="A2" s="6"/>
      <c r="B2" s="6"/>
      <c r="C2" s="30"/>
      <c r="D2" s="16"/>
      <c r="E2" s="25"/>
      <c r="F2" s="26"/>
      <c r="G2" s="26"/>
      <c r="H2" s="26"/>
      <c r="I2" s="25"/>
      <c r="J2" s="21"/>
      <c r="K2" s="26"/>
      <c r="L2" s="31"/>
      <c r="M2" s="27"/>
      <c r="N2" s="27"/>
      <c r="O2" s="27"/>
      <c r="P2" s="27"/>
      <c r="Q2" s="27"/>
      <c r="R2" s="27"/>
      <c r="S2" s="27"/>
      <c r="T2" s="27"/>
      <c r="U2" s="27"/>
      <c r="V2" s="21"/>
      <c r="W2" s="28"/>
      <c r="X2" s="21"/>
      <c r="Y2" s="32"/>
      <c r="Z2" s="31"/>
      <c r="AA2" s="26"/>
      <c r="AB2" s="31"/>
      <c r="AC2" s="31"/>
      <c r="AD2" s="31"/>
      <c r="AE2" s="26"/>
      <c r="AF2" s="26"/>
      <c r="AG2" s="26"/>
      <c r="AH2" s="26"/>
      <c r="AI2" s="16"/>
      <c r="BX2" s="23"/>
      <c r="BY2" s="17"/>
      <c r="CA2" s="13"/>
      <c r="CD2" s="13"/>
    </row>
    <row r="3" spans="4:85" ht="12.75">
      <c r="D3" s="16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23"/>
      <c r="BZ3" s="23"/>
      <c r="CA3" s="33"/>
      <c r="CB3" s="18"/>
      <c r="CC3" s="23"/>
      <c r="CD3" s="34"/>
      <c r="CE3" s="18"/>
      <c r="CF3" s="18"/>
      <c r="CG3" s="18"/>
    </row>
    <row r="4" spans="3:85" ht="12.75">
      <c r="C4" s="10" t="s">
        <v>16</v>
      </c>
      <c r="D4" s="10" t="s">
        <v>16</v>
      </c>
      <c r="E4" s="10" t="s">
        <v>16</v>
      </c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</row>
    <row r="5" spans="1:85" ht="12.75">
      <c r="A5" s="5" t="s">
        <v>7</v>
      </c>
      <c r="B5" s="5"/>
      <c r="C5" s="22" t="s">
        <v>69</v>
      </c>
      <c r="D5" s="22" t="s">
        <v>61</v>
      </c>
      <c r="E5" s="10" t="s">
        <v>27</v>
      </c>
      <c r="Q5" s="2"/>
      <c r="R5" s="2"/>
      <c r="S5" s="2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</row>
    <row r="6" spans="1:19" ht="12.75">
      <c r="A6" s="35" t="s">
        <v>10</v>
      </c>
      <c r="B6" s="35"/>
      <c r="C6" s="36"/>
      <c r="D6" s="36">
        <v>19.935602546363917</v>
      </c>
      <c r="E6" s="36">
        <v>19.152711808341294</v>
      </c>
      <c r="Q6" s="11"/>
      <c r="R6" s="11"/>
      <c r="S6" s="11"/>
    </row>
    <row r="7" spans="1:19" ht="12.75">
      <c r="A7" s="35" t="s">
        <v>62</v>
      </c>
      <c r="B7" s="35"/>
      <c r="C7" s="37"/>
      <c r="D7" s="37">
        <v>14.9</v>
      </c>
      <c r="E7" s="37">
        <v>13.4</v>
      </c>
      <c r="Q7" s="12"/>
      <c r="R7" s="12"/>
      <c r="S7" s="12"/>
    </row>
    <row r="8" spans="1:19" ht="12.75">
      <c r="A8" s="35" t="s">
        <v>63</v>
      </c>
      <c r="B8" s="35"/>
      <c r="C8" s="37"/>
      <c r="D8" s="37">
        <v>40.73561904314018</v>
      </c>
      <c r="E8" s="37">
        <v>44.8</v>
      </c>
      <c r="Q8" s="12"/>
      <c r="R8" s="12"/>
      <c r="S8" s="12"/>
    </row>
    <row r="9" spans="1:19" ht="12.75">
      <c r="A9" s="6" t="str">
        <f>CONCATENATE('Jul-Dec'!C19," (",'Jul-Dec'!G19,")")</f>
        <v>Oaky North Underground (588)</v>
      </c>
      <c r="B9" s="6" t="str">
        <f>'Jul-Dec'!C19</f>
        <v>Oaky North Underground</v>
      </c>
      <c r="C9" s="12">
        <f>VLOOKUP($B9,'Jul-Dec'!$C$5:$S$20,14,FALSE)</f>
        <v>14.01048334416227</v>
      </c>
      <c r="D9" s="12" t="e">
        <f>VLOOKUP($B9,#REF!,14,FALSE)</f>
        <v>#REF!</v>
      </c>
      <c r="E9" s="12" t="e">
        <f>VLOOKUP($B9,#REF!,10,FALSE)</f>
        <v>#REF!</v>
      </c>
      <c r="F9" s="4"/>
      <c r="Q9" s="15"/>
      <c r="R9" s="15"/>
      <c r="S9" s="15"/>
    </row>
    <row r="10" spans="1:19" ht="12.75">
      <c r="A10" s="6" t="str">
        <f>CONCATENATE('Jul-Dec'!C10," (",'Jul-Dec'!G10,")")</f>
        <v>Cook (272)</v>
      </c>
      <c r="B10" s="6" t="str">
        <f>'Jul-Dec'!C10</f>
        <v>Cook</v>
      </c>
      <c r="C10" s="12">
        <f>VLOOKUP($B10,'Jul-Dec'!$C$5:$S$20,14,FALSE)</f>
        <v>159.03679830859687</v>
      </c>
      <c r="D10" s="12" t="e">
        <f>VLOOKUP($B10,#REF!,14,FALSE)</f>
        <v>#REF!</v>
      </c>
      <c r="E10" s="12" t="e">
        <f>VLOOKUP($B10,#REF!,10,FALSE)</f>
        <v>#REF!</v>
      </c>
      <c r="F10" s="4"/>
      <c r="Q10" s="15"/>
      <c r="R10" s="15"/>
      <c r="S10" s="15"/>
    </row>
    <row r="11" spans="1:19" ht="12.75">
      <c r="A11" s="6" t="str">
        <f>CONCATENATE('Jul-Dec'!C15," (",'Jul-Dec'!G15,")")</f>
        <v>Moranbah North (905)</v>
      </c>
      <c r="B11" s="6" t="str">
        <f>'Jul-Dec'!C15</f>
        <v>Moranbah North</v>
      </c>
      <c r="C11" s="12">
        <f>VLOOKUP($B11,'Jul-Dec'!$C$5:$S$20,14,FALSE)</f>
        <v>120.49188571792752</v>
      </c>
      <c r="D11" s="12" t="e">
        <f>VLOOKUP($B11,#REF!,14,FALSE)</f>
        <v>#REF!</v>
      </c>
      <c r="E11" s="12" t="e">
        <f>VLOOKUP($B11,#REF!,10,FALSE)</f>
        <v>#REF!</v>
      </c>
      <c r="F11" s="4"/>
      <c r="Q11" s="15"/>
      <c r="R11" s="15"/>
      <c r="S11" s="15"/>
    </row>
    <row r="12" spans="1:19" ht="12.75">
      <c r="A12" s="6" t="str">
        <f>CONCATENATE('Jul-Dec'!C8," (",'Jul-Dec'!G8,")")</f>
        <v>Bundoora (11)</v>
      </c>
      <c r="B12" s="6" t="str">
        <f>'Jul-Dec'!C8</f>
        <v>Bundoora</v>
      </c>
      <c r="C12" s="12">
        <f>VLOOKUP($B12,'Jul-Dec'!$C$5:$S$20,14,FALSE)</f>
        <v>0</v>
      </c>
      <c r="D12" s="12" t="e">
        <f>VLOOKUP($B12,#REF!,14,FALSE)</f>
        <v>#REF!</v>
      </c>
      <c r="E12" s="12" t="e">
        <f>VLOOKUP($B12,#REF!,10,FALSE)</f>
        <v>#REF!</v>
      </c>
      <c r="F12" s="4"/>
      <c r="Q12" s="15"/>
      <c r="R12" s="15"/>
      <c r="S12" s="15"/>
    </row>
    <row r="13" spans="1:19" ht="12.75">
      <c r="A13" s="6" t="str">
        <f>CONCATENATE('Jul-Dec'!C17," (",'Jul-Dec'!G17,")")</f>
        <v>North Goonyella No. 1 (579)</v>
      </c>
      <c r="B13" s="6" t="str">
        <f>'Jul-Dec'!C17</f>
        <v>North Goonyella No. 1</v>
      </c>
      <c r="C13" s="12">
        <f>VLOOKUP($B13,'Jul-Dec'!$C$5:$S$20,14,FALSE)</f>
        <v>29.20589180190617</v>
      </c>
      <c r="D13" s="12" t="e">
        <f>VLOOKUP($B13,#REF!,14,FALSE)</f>
        <v>#REF!</v>
      </c>
      <c r="E13" s="12" t="e">
        <f>VLOOKUP($B13,#REF!,10,FALSE)</f>
        <v>#REF!</v>
      </c>
      <c r="F13" s="4"/>
      <c r="Q13" s="15"/>
      <c r="R13" s="15"/>
      <c r="S13" s="15"/>
    </row>
    <row r="14" spans="1:19" ht="12.75">
      <c r="A14" s="6" t="str">
        <f>CONCATENATE('Jul-Dec'!C7," (",'Jul-Dec'!G7,")")</f>
        <v>Broadmeadow - G.E.Adit (597)</v>
      </c>
      <c r="B14" s="6" t="str">
        <f>'Jul-Dec'!C7</f>
        <v>Broadmeadow - G.E.Adit</v>
      </c>
      <c r="C14" s="12">
        <f>VLOOKUP($B14,'Jul-Dec'!$C$5:$S$20,14,FALSE)</f>
        <v>17.65382439211262</v>
      </c>
      <c r="D14" s="12" t="e">
        <f>VLOOKUP($B14,#REF!,14,FALSE)</f>
        <v>#REF!</v>
      </c>
      <c r="E14" s="12" t="e">
        <f>VLOOKUP($B14,#REF!,10,FALSE)</f>
        <v>#REF!</v>
      </c>
      <c r="F14" s="4"/>
      <c r="Q14" s="15"/>
      <c r="R14" s="15"/>
      <c r="S14" s="15"/>
    </row>
    <row r="15" spans="1:19" ht="12.75">
      <c r="A15" s="6" t="str">
        <f>CONCATENATE('Jul-Dec'!C11," (",'Jul-Dec'!G11,")")</f>
        <v>Crinum (175)</v>
      </c>
      <c r="B15" s="6" t="str">
        <f>'Jul-Dec'!C11</f>
        <v>Crinum</v>
      </c>
      <c r="C15" s="12">
        <f>VLOOKUP($B15,'Jul-Dec'!$C$5:$S$20,14,FALSE)</f>
        <v>36.693208087183066</v>
      </c>
      <c r="D15" s="12" t="e">
        <f>VLOOKUP($B15,#REF!,14,FALSE)</f>
        <v>#REF!</v>
      </c>
      <c r="E15" s="12" t="e">
        <f>VLOOKUP($B15,#REF!,10,FALSE)</f>
        <v>#REF!</v>
      </c>
      <c r="F15" s="4"/>
      <c r="Q15" s="15"/>
      <c r="R15" s="15"/>
      <c r="S15" s="15"/>
    </row>
    <row r="16" spans="1:19" ht="12.75">
      <c r="A16" s="6" t="str">
        <f>CONCATENATE('Jul-Dec'!C16," (",'Jul-Dec'!G16,")")</f>
        <v>Newlands Northern Underground (426)</v>
      </c>
      <c r="B16" s="6" t="str">
        <f>'Jul-Dec'!C16</f>
        <v>Newlands Northern Underground</v>
      </c>
      <c r="C16" s="12">
        <f>VLOOKUP($B16,'Jul-Dec'!$C$5:$S$20,14,FALSE)</f>
        <v>24.621610611466508</v>
      </c>
      <c r="D16" s="12" t="e">
        <f>VLOOKUP($B16,#REF!,14,FALSE)</f>
        <v>#REF!</v>
      </c>
      <c r="E16" s="12" t="e">
        <f>VLOOKUP($B16,#REF!,10,FALSE)</f>
        <v>#REF!</v>
      </c>
      <c r="F16" s="4"/>
      <c r="Q16" s="15"/>
      <c r="R16" s="15"/>
      <c r="S16" s="15"/>
    </row>
    <row r="17" spans="1:19" ht="12.75">
      <c r="A17" s="6" t="str">
        <f>CONCATENATE('Jul-Dec'!C12," (",'Jul-Dec'!G12,")")</f>
        <v>Grasstree (692)</v>
      </c>
      <c r="B17" s="6" t="str">
        <f>'Jul-Dec'!C12</f>
        <v>Grasstree</v>
      </c>
      <c r="C17" s="12">
        <f>VLOOKUP($B17,'Jul-Dec'!$C$5:$S$20,14,FALSE)</f>
        <v>30.57343535349006</v>
      </c>
      <c r="D17" s="12" t="e">
        <f>VLOOKUP($B17,#REF!,14,FALSE)</f>
        <v>#REF!</v>
      </c>
      <c r="E17" s="12" t="e">
        <f>VLOOKUP($B17,#REF!,10,FALSE)</f>
        <v>#REF!</v>
      </c>
      <c r="F17" s="4"/>
      <c r="Q17" s="15"/>
      <c r="R17" s="15"/>
      <c r="S17" s="15"/>
    </row>
    <row r="18" spans="1:19" ht="12.75">
      <c r="A18" s="6" t="str">
        <f>CONCATENATE('Jul-Dec'!C9," (",'Jul-Dec'!G9,")")</f>
        <v>Carborough Downs (Includes Prep Plant) (537)</v>
      </c>
      <c r="B18" s="6" t="str">
        <f>'Jul-Dec'!C9</f>
        <v>Carborough Downs (Includes Prep Plant)</v>
      </c>
      <c r="C18" s="12">
        <f>VLOOKUP($B18,'Jul-Dec'!$C$5:$S$20,14,FALSE)</f>
        <v>49.95591390597797</v>
      </c>
      <c r="D18" s="12" t="e">
        <f>VLOOKUP($B18,#REF!,14,FALSE)</f>
        <v>#REF!</v>
      </c>
      <c r="E18" s="12" t="e">
        <f>VLOOKUP($B18,#REF!,10,FALSE)</f>
        <v>#REF!</v>
      </c>
      <c r="F18" s="4"/>
      <c r="Q18" s="15"/>
      <c r="R18" s="15"/>
      <c r="S18" s="15"/>
    </row>
    <row r="19" spans="1:19" ht="12.75">
      <c r="A19" s="6" t="str">
        <f>CONCATENATE('Jul-Dec'!C14," (",'Jul-Dec'!G14,")")</f>
        <v>Kestrel Mine Extension Project (706)</v>
      </c>
      <c r="B19" s="6" t="str">
        <f>'Jul-Dec'!C14</f>
        <v>Kestrel Mine Extension Project</v>
      </c>
      <c r="C19" s="12">
        <f>VLOOKUP($B19,'Jul-Dec'!$C$5:$S$20,14,FALSE)</f>
        <v>6.01803001793373</v>
      </c>
      <c r="D19" s="12" t="e">
        <f>VLOOKUP($B19,#REF!,14,FALSE)</f>
        <v>#REF!</v>
      </c>
      <c r="E19" s="12" t="e">
        <f>VLOOKUP($B19,#REF!,10,FALSE)</f>
        <v>#REF!</v>
      </c>
      <c r="F19" s="4"/>
      <c r="Q19" s="15"/>
      <c r="R19" s="15"/>
      <c r="S19" s="15"/>
    </row>
    <row r="20" spans="1:19" ht="12.75">
      <c r="A20" s="6" t="str">
        <f>CONCATENATE('Jul-Dec'!C18," (",'Jul-Dec'!G18,")")</f>
        <v>Oaky Creek No. 1 (425)</v>
      </c>
      <c r="B20" s="6" t="str">
        <f>'Jul-Dec'!C18</f>
        <v>Oaky Creek No. 1</v>
      </c>
      <c r="C20" s="12">
        <f>VLOOKUP($B20,'Jul-Dec'!$C$5:$S$20,14,FALSE)</f>
        <v>9.624898457321276</v>
      </c>
      <c r="D20" s="12" t="e">
        <f>VLOOKUP($B20,#REF!,14,FALSE)</f>
        <v>#REF!</v>
      </c>
      <c r="E20" s="12" t="e">
        <f>VLOOKUP($B20,#REF!,10,FALSE)</f>
        <v>#REF!</v>
      </c>
      <c r="F20" s="4"/>
      <c r="Q20" s="15"/>
      <c r="R20" s="15"/>
      <c r="S20" s="15"/>
    </row>
    <row r="21" spans="1:19" ht="12.75">
      <c r="A21" s="6" t="str">
        <f>CONCATENATE('Jul-Dec'!C13," (",'Jul-Dec'!G13,")")</f>
        <v>Kestrel (607)</v>
      </c>
      <c r="B21" s="6" t="str">
        <f>'Jul-Dec'!C13</f>
        <v>Kestrel</v>
      </c>
      <c r="C21" s="12">
        <f>VLOOKUP($B21,'Jul-Dec'!$C$5:$S$20,14,FALSE)</f>
        <v>1.6008529344434717</v>
      </c>
      <c r="D21" s="12" t="e">
        <f>VLOOKUP($B21,#REF!,14,FALSE)</f>
        <v>#REF!</v>
      </c>
      <c r="E21" s="12" t="e">
        <f>VLOOKUP($B21,#REF!,10,FALSE)</f>
        <v>#REF!</v>
      </c>
      <c r="Q21" s="15"/>
      <c r="R21" s="15"/>
      <c r="S21" s="15"/>
    </row>
    <row r="22" spans="1:5" ht="12.75">
      <c r="A22" s="6" t="str">
        <f>CONCATENATE('Jul-Dec'!C6," (",'Jul-Dec'!G6,")")</f>
        <v>Aquila (93)</v>
      </c>
      <c r="B22" s="6" t="str">
        <f>'Jul-Dec'!C6</f>
        <v>Aquila</v>
      </c>
      <c r="C22" s="12">
        <f>VLOOKUP($B22,'Jul-Dec'!$C$5:$S$20,14,FALSE)</f>
        <v>88.98380494749956</v>
      </c>
      <c r="D22" s="12" t="e">
        <f>VLOOKUP($B22,#REF!,14,FALSE)</f>
        <v>#REF!</v>
      </c>
      <c r="E22" s="12" t="e">
        <f>VLOOKUP($B22,#REF!,10,FALSE)</f>
        <v>#REF!</v>
      </c>
    </row>
    <row r="23" spans="17:19" ht="12.75">
      <c r="Q23" s="15"/>
      <c r="R23" s="15"/>
      <c r="S23" s="15"/>
    </row>
    <row r="24" spans="1:5" ht="12.75">
      <c r="A24" s="15"/>
      <c r="B24" s="15"/>
      <c r="C24" s="15"/>
      <c r="D24" s="15"/>
      <c r="E24" s="15"/>
    </row>
    <row r="57" spans="3:20" ht="39">
      <c r="C57" s="46" t="s">
        <v>21</v>
      </c>
      <c r="D57" s="46" t="s">
        <v>21</v>
      </c>
      <c r="E57" s="46" t="s">
        <v>21</v>
      </c>
      <c r="Q57" s="2"/>
      <c r="R57" s="2"/>
      <c r="S57" s="2"/>
      <c r="T57" s="2"/>
    </row>
    <row r="58" spans="1:20" ht="12.75">
      <c r="A58" s="2"/>
      <c r="B58" s="2"/>
      <c r="C58" s="22" t="s">
        <v>69</v>
      </c>
      <c r="D58" s="22" t="s">
        <v>61</v>
      </c>
      <c r="E58" s="10" t="s">
        <v>27</v>
      </c>
      <c r="Q58" s="2"/>
      <c r="R58" s="2"/>
      <c r="S58" s="2"/>
      <c r="T58" s="2"/>
    </row>
    <row r="59" spans="1:20" ht="12.75">
      <c r="A59" s="35" t="s">
        <v>10</v>
      </c>
      <c r="B59" s="35"/>
      <c r="C59" s="48"/>
      <c r="D59" s="48">
        <v>263.1756355476512</v>
      </c>
      <c r="E59" s="48">
        <v>239.42717309263293</v>
      </c>
      <c r="Q59" s="2"/>
      <c r="R59" s="2"/>
      <c r="S59" s="2"/>
      <c r="T59" s="2"/>
    </row>
    <row r="60" spans="1:20" ht="12.75">
      <c r="A60" s="35" t="s">
        <v>62</v>
      </c>
      <c r="B60" s="35"/>
      <c r="C60" s="48"/>
      <c r="D60" s="48">
        <v>234.37610290024853</v>
      </c>
      <c r="E60" s="48">
        <v>189.53294243844215</v>
      </c>
      <c r="S60" s="2"/>
      <c r="T60" s="2"/>
    </row>
    <row r="61" spans="1:20" ht="12.75">
      <c r="A61" s="35" t="s">
        <v>63</v>
      </c>
      <c r="B61" s="35"/>
      <c r="C61" s="48"/>
      <c r="D61" s="48">
        <v>382.9313782002507</v>
      </c>
      <c r="E61" s="48">
        <v>460.32040124942125</v>
      </c>
      <c r="Q61" s="1"/>
      <c r="R61" s="1"/>
      <c r="T61" s="3"/>
    </row>
    <row r="62" spans="1:20" ht="12.75">
      <c r="A62" s="6" t="str">
        <f>CONCATENATE('Jul-Dec'!C8," (",'Jul-Dec'!G8,")")</f>
        <v>Bundoora (11)</v>
      </c>
      <c r="B62" s="6" t="str">
        <f>'Jul-Dec'!C8</f>
        <v>Bundoora</v>
      </c>
      <c r="C62" s="12">
        <f>VLOOKUP($B62,'Jul-Dec'!$C$5:$S$20,16,FALSE)</f>
        <v>0</v>
      </c>
      <c r="D62" s="12" t="e">
        <f>VLOOKUP($B62,#REF!,16,FALSE)</f>
        <v>#REF!</v>
      </c>
      <c r="E62" s="12" t="e">
        <f>VLOOKUP($B62,#REF!,12,FALSE)</f>
        <v>#REF!</v>
      </c>
      <c r="Q62" s="1"/>
      <c r="R62" s="1"/>
      <c r="T62" s="3"/>
    </row>
    <row r="63" spans="1:20" ht="12.75">
      <c r="A63" s="6" t="str">
        <f>CONCATENATE('Jul-Dec'!C17," (",'Jul-Dec'!G17,")")</f>
        <v>North Goonyella No. 1 (579)</v>
      </c>
      <c r="B63" s="6" t="str">
        <f>'Jul-Dec'!C17</f>
        <v>North Goonyella No. 1</v>
      </c>
      <c r="C63" s="12">
        <f>VLOOKUP($B63,'Jul-Dec'!$C$5:$S$20,16,FALSE)</f>
        <v>249.22361004293265</v>
      </c>
      <c r="D63" s="12" t="e">
        <f>VLOOKUP($B63,#REF!,16,FALSE)</f>
        <v>#REF!</v>
      </c>
      <c r="E63" s="12" t="e">
        <f>VLOOKUP($B63,#REF!,12,FALSE)</f>
        <v>#REF!</v>
      </c>
      <c r="Q63" s="13"/>
      <c r="R63" s="13"/>
      <c r="T63" s="16"/>
    </row>
    <row r="64" spans="1:20" ht="12.75">
      <c r="A64" s="6" t="str">
        <f>CONCATENATE('Jul-Dec'!C7," (",'Jul-Dec'!G7,")")</f>
        <v>Broadmeadow - G.E.Adit (597)</v>
      </c>
      <c r="B64" s="6" t="str">
        <f>'Jul-Dec'!C7</f>
        <v>Broadmeadow - G.E.Adit</v>
      </c>
      <c r="C64" s="12">
        <f>VLOOKUP($B64,'Jul-Dec'!$C$5:$S$20,16,FALSE)</f>
        <v>544.6204824966744</v>
      </c>
      <c r="D64" s="12" t="e">
        <f>VLOOKUP($B64,#REF!,16,FALSE)</f>
        <v>#REF!</v>
      </c>
      <c r="E64" s="12" t="e">
        <f>VLOOKUP($B64,#REF!,12,FALSE)</f>
        <v>#REF!</v>
      </c>
      <c r="Q64" s="8"/>
      <c r="R64" s="8"/>
      <c r="T64" s="16"/>
    </row>
    <row r="65" spans="1:18" ht="12.75">
      <c r="A65" s="6" t="str">
        <f>CONCATENATE('Jul-Dec'!C15," (",'Jul-Dec'!G15,")")</f>
        <v>Moranbah North (905)</v>
      </c>
      <c r="B65" s="6" t="str">
        <f>'Jul-Dec'!C15</f>
        <v>Moranbah North</v>
      </c>
      <c r="C65" s="12">
        <f>VLOOKUP($B65,'Jul-Dec'!$C$5:$S$20,16,FALSE)</f>
        <v>581.5476137129724</v>
      </c>
      <c r="D65" s="12" t="e">
        <f>VLOOKUP($B65,#REF!,16,FALSE)</f>
        <v>#REF!</v>
      </c>
      <c r="E65" s="12" t="e">
        <f>VLOOKUP($B65,#REF!,12,FALSE)</f>
        <v>#REF!</v>
      </c>
      <c r="Q65" s="13"/>
      <c r="R65" s="13"/>
    </row>
    <row r="66" spans="1:20" ht="12.75">
      <c r="A66" s="6" t="str">
        <f>CONCATENATE('Jul-Dec'!C16," (",'Jul-Dec'!G16,")")</f>
        <v>Newlands Northern Underground (426)</v>
      </c>
      <c r="B66" s="6" t="str">
        <f>'Jul-Dec'!C16</f>
        <v>Newlands Northern Underground</v>
      </c>
      <c r="C66" s="12">
        <f>VLOOKUP($B66,'Jul-Dec'!$C$5:$S$20,16,FALSE)</f>
        <v>590.9186546751962</v>
      </c>
      <c r="D66" s="12" t="e">
        <f>VLOOKUP($B66,#REF!,16,FALSE)</f>
        <v>#REF!</v>
      </c>
      <c r="E66" s="12" t="e">
        <f>VLOOKUP($B66,#REF!,12,FALSE)</f>
        <v>#REF!</v>
      </c>
      <c r="Q66" s="13"/>
      <c r="R66" s="13"/>
      <c r="T66" s="1"/>
    </row>
    <row r="67" spans="1:18" ht="12.75">
      <c r="A67" s="6" t="str">
        <f>CONCATENATE('Jul-Dec'!C11," (",'Jul-Dec'!G11,")")</f>
        <v>Crinum (175)</v>
      </c>
      <c r="B67" s="6" t="str">
        <f>'Jul-Dec'!C11</f>
        <v>Crinum</v>
      </c>
      <c r="C67" s="12">
        <f>VLOOKUP($B67,'Jul-Dec'!$C$5:$S$20,16,FALSE)</f>
        <v>693.6763624100798</v>
      </c>
      <c r="D67" s="12" t="e">
        <f>VLOOKUP($B67,#REF!,16,FALSE)</f>
        <v>#REF!</v>
      </c>
      <c r="E67" s="12" t="e">
        <f>VLOOKUP($B67,#REF!,12,FALSE)</f>
        <v>#REF!</v>
      </c>
      <c r="Q67" s="13"/>
      <c r="R67" s="13"/>
    </row>
    <row r="68" spans="1:20" ht="12.75">
      <c r="A68" s="6" t="str">
        <f>CONCATENATE('Jul-Dec'!C9," (",'Jul-Dec'!G9,")")</f>
        <v>Carborough Downs (Includes Prep Plant) (537)</v>
      </c>
      <c r="B68" s="6" t="str">
        <f>'Jul-Dec'!C9</f>
        <v>Carborough Downs (Includes Prep Plant)</v>
      </c>
      <c r="C68" s="12">
        <f>VLOOKUP($B68,'Jul-Dec'!$C$5:$S$20,16,FALSE)</f>
        <v>669.4092463401048</v>
      </c>
      <c r="D68" s="12" t="e">
        <f>VLOOKUP($B68,#REF!,16,FALSE)</f>
        <v>#REF!</v>
      </c>
      <c r="E68" s="12" t="e">
        <f>VLOOKUP($B68,#REF!,12,FALSE)</f>
        <v>#REF!</v>
      </c>
      <c r="Q68" s="13"/>
      <c r="R68" s="13"/>
      <c r="T68" s="18"/>
    </row>
    <row r="69" spans="1:20" ht="12.75">
      <c r="A69" s="6" t="str">
        <f>CONCATENATE('Jul-Dec'!C14," (",'Jul-Dec'!G14,")")</f>
        <v>Kestrel Mine Extension Project (706)</v>
      </c>
      <c r="B69" s="6" t="str">
        <f>'Jul-Dec'!C14</f>
        <v>Kestrel Mine Extension Project</v>
      </c>
      <c r="C69" s="12">
        <f>VLOOKUP($B69,'Jul-Dec'!$C$5:$S$20,16,FALSE)</f>
        <v>18.05409005380119</v>
      </c>
      <c r="D69" s="12" t="e">
        <f>VLOOKUP($B69,#REF!,16,FALSE)</f>
        <v>#REF!</v>
      </c>
      <c r="E69" s="12" t="e">
        <f>VLOOKUP($B69,#REF!,12,FALSE)</f>
        <v>#REF!</v>
      </c>
      <c r="Q69" s="13"/>
      <c r="R69" s="13"/>
      <c r="T69" s="19"/>
    </row>
    <row r="70" spans="1:20" ht="12.75">
      <c r="A70" s="6" t="str">
        <f>CONCATENATE('Jul-Dec'!C12," (",'Jul-Dec'!G12,")")</f>
        <v>Grasstree (692)</v>
      </c>
      <c r="B70" s="6" t="str">
        <f>'Jul-Dec'!C12</f>
        <v>Grasstree</v>
      </c>
      <c r="C70" s="12">
        <f>VLOOKUP($B70,'Jul-Dec'!$C$5:$S$20,16,FALSE)</f>
        <v>116.17905434326222</v>
      </c>
      <c r="D70" s="12" t="e">
        <f>VLOOKUP($B70,#REF!,16,FALSE)</f>
        <v>#REF!</v>
      </c>
      <c r="E70" s="12" t="e">
        <f>VLOOKUP($B70,#REF!,12,FALSE)</f>
        <v>#REF!</v>
      </c>
      <c r="Q70" s="13"/>
      <c r="R70" s="13"/>
      <c r="T70" s="19"/>
    </row>
    <row r="71" spans="1:20" ht="12.75">
      <c r="A71" s="6" t="str">
        <f>CONCATENATE('Jul-Dec'!C18," (",'Jul-Dec'!G18,")")</f>
        <v>Oaky Creek No. 1 (425)</v>
      </c>
      <c r="B71" s="6" t="str">
        <f>'Jul-Dec'!C18</f>
        <v>Oaky Creek No. 1</v>
      </c>
      <c r="C71" s="12">
        <f>VLOOKUP($B71,'Jul-Dec'!$C$5:$S$20,16,FALSE)</f>
        <v>9.624898457321276</v>
      </c>
      <c r="D71" s="12" t="e">
        <f>VLOOKUP($B71,#REF!,16,FALSE)</f>
        <v>#REF!</v>
      </c>
      <c r="E71" s="12" t="e">
        <f>VLOOKUP($B71,#REF!,12,FALSE)</f>
        <v>#REF!</v>
      </c>
      <c r="Q71" s="13"/>
      <c r="R71" s="13"/>
      <c r="T71" s="19"/>
    </row>
    <row r="72" spans="1:20" ht="12.75">
      <c r="A72" s="6" t="str">
        <f>CONCATENATE('Jul-Dec'!C6," (",'Jul-Dec'!G6,")")</f>
        <v>Aquila (93)</v>
      </c>
      <c r="B72" s="6" t="str">
        <f>'Jul-Dec'!C6</f>
        <v>Aquila</v>
      </c>
      <c r="C72" s="12">
        <f>VLOOKUP($B72,'Jul-Dec'!$C$5:$S$20,16,FALSE)</f>
        <v>1156.7894643174943</v>
      </c>
      <c r="D72" s="12" t="e">
        <f>VLOOKUP($B72,#REF!,16,FALSE)</f>
        <v>#REF!</v>
      </c>
      <c r="E72" s="12" t="e">
        <f>VLOOKUP($B72,#REF!,12,FALSE)</f>
        <v>#REF!</v>
      </c>
      <c r="Q72" s="13"/>
      <c r="R72" s="13"/>
      <c r="T72" s="19"/>
    </row>
    <row r="73" spans="1:20" ht="12.75">
      <c r="A73" s="6" t="str">
        <f>CONCATENATE('Jul-Dec'!C10," (",'Jul-Dec'!G10,")")</f>
        <v>Cook (272)</v>
      </c>
      <c r="B73" s="6" t="str">
        <f>'Jul-Dec'!C10</f>
        <v>Cook</v>
      </c>
      <c r="C73" s="12">
        <f>VLOOKUP($B73,'Jul-Dec'!$C$5:$S$20,16,FALSE)</f>
        <v>159.03679830859687</v>
      </c>
      <c r="D73" s="12" t="e">
        <f>VLOOKUP($B73,#REF!,16,FALSE)</f>
        <v>#REF!</v>
      </c>
      <c r="E73" s="12" t="e">
        <f>VLOOKUP($B73,#REF!,12,FALSE)</f>
        <v>#REF!</v>
      </c>
      <c r="Q73" s="13"/>
      <c r="R73" s="13"/>
      <c r="T73" s="20"/>
    </row>
    <row r="74" spans="1:20" ht="12.75">
      <c r="A74" s="6" t="str">
        <f>CONCATENATE('Jul-Dec'!C13," (",'Jul-Dec'!G13,")")</f>
        <v>Kestrel (607)</v>
      </c>
      <c r="B74" s="6" t="str">
        <f>'Jul-Dec'!C13</f>
        <v>Kestrel</v>
      </c>
      <c r="C74" s="12">
        <f>VLOOKUP($B74,'Jul-Dec'!$C$5:$S$20,16,FALSE)</f>
        <v>0</v>
      </c>
      <c r="D74" s="12" t="e">
        <f>VLOOKUP($B74,#REF!,16,FALSE)</f>
        <v>#REF!</v>
      </c>
      <c r="E74" s="12" t="e">
        <f>VLOOKUP($B74,#REF!,12,FALSE)</f>
        <v>#REF!</v>
      </c>
      <c r="Q74" s="13"/>
      <c r="R74" s="13"/>
      <c r="T74" s="17"/>
    </row>
    <row r="75" spans="1:19" ht="12.75">
      <c r="A75" s="6" t="str">
        <f>CONCATENATE('Jul-Dec'!C19," (",'Jul-Dec'!G19,")")</f>
        <v>Oaky North Underground (588)</v>
      </c>
      <c r="B75" s="6" t="str">
        <f>'Jul-Dec'!C19</f>
        <v>Oaky North Underground</v>
      </c>
      <c r="C75" s="12">
        <f>VLOOKUP($B75,'Jul-Dec'!$C$5:$S$20,16,FALSE)</f>
        <v>0</v>
      </c>
      <c r="D75" s="12" t="e">
        <f>VLOOKUP($B75,#REF!,16,FALSE)</f>
        <v>#REF!</v>
      </c>
      <c r="E75" s="12" t="e">
        <f>VLOOKUP($B75,#REF!,12,FALSE)</f>
        <v>#REF!</v>
      </c>
      <c r="Q75" s="13"/>
      <c r="R75" s="13"/>
      <c r="S75" s="13"/>
    </row>
    <row r="76" spans="1:19" ht="12.75">
      <c r="A76" s="6"/>
      <c r="B76" s="6"/>
      <c r="C76" s="47"/>
      <c r="D76" s="47"/>
      <c r="E76" s="47"/>
      <c r="Q76" s="13"/>
      <c r="R76" s="13"/>
      <c r="S76" s="13"/>
    </row>
    <row r="77" spans="1:20" ht="12.75">
      <c r="A77" s="13"/>
      <c r="B77" s="13"/>
      <c r="C77" s="9"/>
      <c r="D77" s="13"/>
      <c r="Q77" s="13"/>
      <c r="R77" s="13"/>
      <c r="S77" s="13"/>
      <c r="T77" s="13"/>
    </row>
    <row r="78" spans="1:4" ht="12.75">
      <c r="A78" s="13"/>
      <c r="B78" s="13"/>
      <c r="C78" s="9"/>
      <c r="D78" s="13"/>
    </row>
    <row r="79" spans="1:4" ht="12.75">
      <c r="A79" s="13"/>
      <c r="B79" s="13"/>
      <c r="D79" s="13"/>
    </row>
    <row r="80" spans="17:20" ht="12.75">
      <c r="Q80" s="13"/>
      <c r="R80" s="13"/>
      <c r="S80" s="13"/>
      <c r="T80" s="13"/>
    </row>
    <row r="82" spans="1:2" ht="12.75">
      <c r="A82" s="13"/>
      <c r="B82" s="13"/>
    </row>
    <row r="111" spans="17:19" ht="12.75">
      <c r="Q111" s="2"/>
      <c r="R111" s="2"/>
      <c r="S111" s="3"/>
    </row>
    <row r="112" spans="17:19" ht="12.75">
      <c r="Q112" s="11"/>
      <c r="R112" s="11"/>
      <c r="S112" s="3"/>
    </row>
    <row r="113" spans="17:19" ht="12.75">
      <c r="Q113" s="12"/>
      <c r="R113" s="12"/>
      <c r="S113" s="16"/>
    </row>
    <row r="114" spans="3:19" ht="39">
      <c r="C114" s="46" t="s">
        <v>22</v>
      </c>
      <c r="D114" s="46" t="s">
        <v>22</v>
      </c>
      <c r="E114" s="46" t="s">
        <v>22</v>
      </c>
      <c r="Q114" s="12"/>
      <c r="R114" s="12"/>
      <c r="S114" s="16"/>
    </row>
    <row r="115" spans="3:18" ht="12.75">
      <c r="C115" s="22" t="s">
        <v>69</v>
      </c>
      <c r="D115" s="22" t="s">
        <v>61</v>
      </c>
      <c r="E115" s="10" t="s">
        <v>27</v>
      </c>
      <c r="Q115" s="1"/>
      <c r="R115" s="1"/>
    </row>
    <row r="116" spans="1:19" ht="12.75">
      <c r="A116" s="35" t="s">
        <v>10</v>
      </c>
      <c r="B116" s="35"/>
      <c r="C116" s="48"/>
      <c r="D116" s="48">
        <v>27.235880398671096</v>
      </c>
      <c r="E116" s="48">
        <v>26.09760956175299</v>
      </c>
      <c r="Q116" s="13"/>
      <c r="R116" s="13"/>
      <c r="S116" s="1"/>
    </row>
    <row r="117" spans="1:18" ht="12.75">
      <c r="A117" s="35" t="s">
        <v>62</v>
      </c>
      <c r="B117" s="35"/>
      <c r="C117" s="48"/>
      <c r="D117" s="48">
        <v>30.81413612565445</v>
      </c>
      <c r="E117" s="48">
        <v>25.481927710843372</v>
      </c>
      <c r="Q117" s="13"/>
      <c r="R117" s="13"/>
    </row>
    <row r="118" spans="1:18" ht="12.75">
      <c r="A118" s="35" t="s">
        <v>63</v>
      </c>
      <c r="B118" s="35"/>
      <c r="C118" s="48"/>
      <c r="D118" s="48">
        <v>21.022727272727273</v>
      </c>
      <c r="E118" s="48">
        <v>27.3</v>
      </c>
      <c r="Q118" s="13"/>
      <c r="R118" s="13"/>
    </row>
    <row r="119" spans="1:19" ht="12.75">
      <c r="A119" s="6" t="str">
        <f>CONCATENATE('Jul-Dec'!C8," (",'Jul-Dec'!G8,")")</f>
        <v>Bundoora (11)</v>
      </c>
      <c r="B119" s="6" t="str">
        <f>'Jul-Dec'!C8</f>
        <v>Bundoora</v>
      </c>
      <c r="C119" s="12">
        <f>VLOOKUP($B119,'Jul-Dec'!$C$5:$S$20,17,FALSE)</f>
        <v>0</v>
      </c>
      <c r="D119" s="12" t="e">
        <f>VLOOKUP($B119,#REF!,17,FALSE)</f>
        <v>#REF!</v>
      </c>
      <c r="E119" s="12" t="e">
        <f>VLOOKUP($B119,#REF!,13,FALSE)</f>
        <v>#REF!</v>
      </c>
      <c r="Q119" s="15"/>
      <c r="R119" s="15"/>
      <c r="S119" s="17"/>
    </row>
    <row r="120" spans="1:19" ht="12.75">
      <c r="A120" s="6" t="str">
        <f>CONCATENATE('Jul-Dec'!C7," (",'Jul-Dec'!G7,")")</f>
        <v>Broadmeadow - G.E.Adit (597)</v>
      </c>
      <c r="B120" s="6" t="str">
        <f>'Jul-Dec'!C7</f>
        <v>Broadmeadow - G.E.Adit</v>
      </c>
      <c r="C120" s="12">
        <f>VLOOKUP($B120,'Jul-Dec'!$C$5:$S$20,17,FALSE)</f>
        <v>32.473684210526315</v>
      </c>
      <c r="D120" s="12" t="e">
        <f>VLOOKUP($B120,#REF!,17,FALSE)</f>
        <v>#REF!</v>
      </c>
      <c r="E120" s="12" t="e">
        <f>VLOOKUP($B120,#REF!,13,FALSE)</f>
        <v>#REF!</v>
      </c>
      <c r="F120" s="15"/>
      <c r="Q120" s="15"/>
      <c r="R120" s="15"/>
      <c r="S120" s="18"/>
    </row>
    <row r="121" spans="1:19" ht="12.75">
      <c r="A121" s="6" t="str">
        <f>CONCATENATE('Jul-Dec'!C17," (",'Jul-Dec'!G17,")")</f>
        <v>North Goonyella No. 1 (579)</v>
      </c>
      <c r="B121" s="6" t="str">
        <f>'Jul-Dec'!C17</f>
        <v>North Goonyella No. 1</v>
      </c>
      <c r="C121" s="12">
        <f>VLOOKUP($B121,'Jul-Dec'!$C$5:$S$20,17,FALSE)</f>
        <v>9.846153846153847</v>
      </c>
      <c r="D121" s="12" t="e">
        <f>VLOOKUP($B121,#REF!,17,FALSE)</f>
        <v>#REF!</v>
      </c>
      <c r="E121" s="12" t="e">
        <f>VLOOKUP($B121,#REF!,13,FALSE)</f>
        <v>#REF!</v>
      </c>
      <c r="F121" s="15"/>
      <c r="Q121" s="15"/>
      <c r="R121" s="15"/>
      <c r="S121" s="19"/>
    </row>
    <row r="122" spans="1:19" ht="12.75">
      <c r="A122" s="6" t="str">
        <f>CONCATENATE('Jul-Dec'!C16," (",'Jul-Dec'!G16,")")</f>
        <v>Newlands Northern Underground (426)</v>
      </c>
      <c r="B122" s="6" t="str">
        <f>'Jul-Dec'!C16</f>
        <v>Newlands Northern Underground</v>
      </c>
      <c r="C122" s="12">
        <f>VLOOKUP($B122,'Jul-Dec'!$C$5:$S$20,17,FALSE)</f>
        <v>29.333333333333332</v>
      </c>
      <c r="D122" s="12" t="e">
        <f>VLOOKUP($B122,#REF!,17,FALSE)</f>
        <v>#REF!</v>
      </c>
      <c r="E122" s="12" t="e">
        <f>VLOOKUP($B122,#REF!,13,FALSE)</f>
        <v>#REF!</v>
      </c>
      <c r="Q122" s="13"/>
      <c r="R122" s="13"/>
      <c r="S122" s="19"/>
    </row>
    <row r="123" spans="1:19" ht="12.75">
      <c r="A123" s="6" t="str">
        <f>CONCATENATE('Jul-Dec'!C15," (",'Jul-Dec'!G15,")")</f>
        <v>Moranbah North (905)</v>
      </c>
      <c r="B123" s="6" t="str">
        <f>'Jul-Dec'!C15</f>
        <v>Moranbah North</v>
      </c>
      <c r="C123" s="12">
        <f>VLOOKUP($B123,'Jul-Dec'!$C$5:$S$20,17,FALSE)</f>
        <v>13.904761904761905</v>
      </c>
      <c r="D123" s="12" t="e">
        <f>VLOOKUP($B123,#REF!,17,FALSE)</f>
        <v>#REF!</v>
      </c>
      <c r="E123" s="12" t="e">
        <f>VLOOKUP($B123,#REF!,13,FALSE)</f>
        <v>#REF!</v>
      </c>
      <c r="Q123" s="15"/>
      <c r="R123" s="15"/>
      <c r="S123" s="19"/>
    </row>
    <row r="124" spans="1:19" ht="12.75">
      <c r="A124" s="6" t="str">
        <f>CONCATENATE('Jul-Dec'!C9," (",'Jul-Dec'!G9,")")</f>
        <v>Carborough Downs (Includes Prep Plant) (537)</v>
      </c>
      <c r="B124" s="6" t="str">
        <f>'Jul-Dec'!C9</f>
        <v>Carborough Downs (Includes Prep Plant)</v>
      </c>
      <c r="C124" s="12">
        <f>VLOOKUP($B124,'Jul-Dec'!$C$5:$S$20,17,FALSE)</f>
        <v>13.4</v>
      </c>
      <c r="D124" s="12" t="e">
        <f>VLOOKUP($B124,#REF!,17,FALSE)</f>
        <v>#REF!</v>
      </c>
      <c r="E124" s="12" t="e">
        <f>VLOOKUP($B124,#REF!,13,FALSE)</f>
        <v>#REF!</v>
      </c>
      <c r="Q124" s="15"/>
      <c r="R124" s="15"/>
      <c r="S124" s="19"/>
    </row>
    <row r="125" spans="1:19" ht="12.75">
      <c r="A125" s="6" t="str">
        <f>CONCATENATE('Jul-Dec'!C11," (",'Jul-Dec'!G11,")")</f>
        <v>Crinum (175)</v>
      </c>
      <c r="B125" s="6" t="str">
        <f>'Jul-Dec'!C11</f>
        <v>Crinum</v>
      </c>
      <c r="C125" s="12">
        <f>VLOOKUP($B125,'Jul-Dec'!$C$5:$S$20,17,FALSE)</f>
        <v>28.357142857142858</v>
      </c>
      <c r="D125" s="12" t="e">
        <f>VLOOKUP($B125,#REF!,17,FALSE)</f>
        <v>#REF!</v>
      </c>
      <c r="E125" s="12" t="e">
        <f>VLOOKUP($B125,#REF!,13,FALSE)</f>
        <v>#REF!</v>
      </c>
      <c r="R125" s="13"/>
      <c r="S125" s="20"/>
    </row>
    <row r="126" spans="1:19" ht="12.75">
      <c r="A126" s="6" t="str">
        <f>CONCATENATE('Jul-Dec'!C12," (",'Jul-Dec'!G12,")")</f>
        <v>Grasstree (692)</v>
      </c>
      <c r="B126" s="6" t="str">
        <f>'Jul-Dec'!C12</f>
        <v>Grasstree</v>
      </c>
      <c r="C126" s="12">
        <f>VLOOKUP($B126,'Jul-Dec'!$C$5:$S$20,17,FALSE)</f>
        <v>5.7</v>
      </c>
      <c r="D126" s="12" t="e">
        <f>VLOOKUP($B126,#REF!,17,FALSE)</f>
        <v>#REF!</v>
      </c>
      <c r="E126" s="12" t="e">
        <f>VLOOKUP($B126,#REF!,13,FALSE)</f>
        <v>#REF!</v>
      </c>
      <c r="Q126" s="13"/>
      <c r="R126" s="13"/>
      <c r="S126" s="17"/>
    </row>
    <row r="127" spans="1:19" ht="12.75">
      <c r="A127" s="6" t="str">
        <f>CONCATENATE('Jul-Dec'!C14," (",'Jul-Dec'!G14,")")</f>
        <v>Kestrel Mine Extension Project (706)</v>
      </c>
      <c r="B127" s="6" t="str">
        <f>'Jul-Dec'!C14</f>
        <v>Kestrel Mine Extension Project</v>
      </c>
      <c r="C127" s="12">
        <f>VLOOKUP($B127,'Jul-Dec'!$C$5:$S$20,17,FALSE)</f>
        <v>4.5</v>
      </c>
      <c r="D127" s="12" t="e">
        <f>VLOOKUP($B127,#REF!,17,FALSE)</f>
        <v>#REF!</v>
      </c>
      <c r="E127" s="12" t="e">
        <f>VLOOKUP($B127,#REF!,13,FALSE)</f>
        <v>#REF!</v>
      </c>
      <c r="Q127" s="15"/>
      <c r="R127" s="15"/>
      <c r="S127" s="15"/>
    </row>
    <row r="128" spans="1:19" ht="12.75">
      <c r="A128" s="6" t="str">
        <f>CONCATENATE('Jul-Dec'!C18," (",'Jul-Dec'!G18,")")</f>
        <v>Oaky Creek No. 1 (425)</v>
      </c>
      <c r="B128" s="6" t="str">
        <f>'Jul-Dec'!C18</f>
        <v>Oaky Creek No. 1</v>
      </c>
      <c r="C128" s="12">
        <f>VLOOKUP($B128,'Jul-Dec'!$C$5:$S$20,17,FALSE)</f>
        <v>2.5</v>
      </c>
      <c r="D128" s="12" t="e">
        <f>VLOOKUP($B128,#REF!,17,FALSE)</f>
        <v>#REF!</v>
      </c>
      <c r="E128" s="12" t="e">
        <f>VLOOKUP($B128,#REF!,13,FALSE)</f>
        <v>#REF!</v>
      </c>
      <c r="Q128" s="15"/>
      <c r="R128" s="15"/>
      <c r="S128" s="15"/>
    </row>
    <row r="129" spans="1:5" ht="12.75">
      <c r="A129" s="6" t="str">
        <f>CONCATENATE('Jul-Dec'!C6," (",'Jul-Dec'!G6,")")</f>
        <v>Aquila (93)</v>
      </c>
      <c r="B129" s="6" t="str">
        <f>'Jul-Dec'!C6</f>
        <v>Aquila</v>
      </c>
      <c r="C129" s="12">
        <f>VLOOKUP($B129,'Jul-Dec'!$C$5:$S$20,17,FALSE)</f>
        <v>13</v>
      </c>
      <c r="D129" s="12" t="e">
        <f>VLOOKUP($B129,#REF!,17,FALSE)</f>
        <v>#REF!</v>
      </c>
      <c r="E129" s="12" t="e">
        <f>VLOOKUP($B129,#REF!,13,FALSE)</f>
        <v>#REF!</v>
      </c>
    </row>
    <row r="130" spans="1:5" ht="12.75">
      <c r="A130" s="6" t="str">
        <f>CONCATENATE('Jul-Dec'!C10," (",'Jul-Dec'!G10,")")</f>
        <v>Cook (272)</v>
      </c>
      <c r="B130" s="6" t="str">
        <f>'Jul-Dec'!C10</f>
        <v>Cook</v>
      </c>
      <c r="C130" s="12">
        <f>VLOOKUP($B130,'Jul-Dec'!$C$5:$S$20,17,FALSE)</f>
        <v>8.5</v>
      </c>
      <c r="D130" s="12" t="e">
        <f>VLOOKUP($B130,#REF!,17,FALSE)</f>
        <v>#REF!</v>
      </c>
      <c r="E130" s="12" t="e">
        <f>VLOOKUP($B130,#REF!,13,FALSE)</f>
        <v>#REF!</v>
      </c>
    </row>
    <row r="131" spans="1:19" ht="12.75">
      <c r="A131" s="6" t="str">
        <f>CONCATENATE('Jul-Dec'!C13," (",'Jul-Dec'!G13,")")</f>
        <v>Kestrel (607)</v>
      </c>
      <c r="B131" s="6" t="str">
        <f>'Jul-Dec'!C13</f>
        <v>Kestrel</v>
      </c>
      <c r="C131" s="12">
        <f>VLOOKUP($B131,'Jul-Dec'!$C$5:$S$20,17,FALSE)</f>
        <v>0</v>
      </c>
      <c r="D131" s="12" t="e">
        <f>VLOOKUP($B131,#REF!,17,FALSE)</f>
        <v>#REF!</v>
      </c>
      <c r="E131" s="12" t="e">
        <f>VLOOKUP($B131,#REF!,13,FALSE)</f>
        <v>#REF!</v>
      </c>
      <c r="Q131" s="15"/>
      <c r="R131" s="15"/>
      <c r="S131" s="15"/>
    </row>
    <row r="132" spans="1:5" ht="12.75">
      <c r="A132" s="6" t="str">
        <f>CONCATENATE('Jul-Dec'!C19," (",'Jul-Dec'!G19,")")</f>
        <v>Oaky North Underground (588)</v>
      </c>
      <c r="B132" s="6" t="str">
        <f>'Jul-Dec'!C19</f>
        <v>Oaky North Underground</v>
      </c>
      <c r="C132" s="12">
        <f>VLOOKUP($B132,'Jul-Dec'!$C$5:$S$20,17,FALSE)</f>
        <v>0</v>
      </c>
      <c r="D132" s="12" t="e">
        <f>VLOOKUP($B132,#REF!,17,FALSE)</f>
        <v>#REF!</v>
      </c>
      <c r="E132" s="12" t="e">
        <f>VLOOKUP($B132,#REF!,13,FALSE)</f>
        <v>#REF!</v>
      </c>
    </row>
    <row r="133" spans="1:5" ht="12.75">
      <c r="A133" s="6"/>
      <c r="B133" s="6"/>
      <c r="C133" s="49"/>
      <c r="D133" s="49"/>
      <c r="E133" s="49"/>
    </row>
    <row r="134" spans="1:5" ht="12.75">
      <c r="A134" s="13"/>
      <c r="B134" s="13"/>
      <c r="C134" s="13"/>
      <c r="D134" s="13"/>
      <c r="E134" s="13"/>
    </row>
    <row r="135" spans="1:5" ht="12.75">
      <c r="A135" s="13"/>
      <c r="B135" s="13"/>
      <c r="C135" s="13"/>
      <c r="D135" s="13"/>
      <c r="E135" s="13"/>
    </row>
    <row r="136" spans="1:5" ht="12.75">
      <c r="A136" s="15"/>
      <c r="B136" s="15"/>
      <c r="C136" s="15"/>
      <c r="D136" s="15"/>
      <c r="E136" s="15"/>
    </row>
    <row r="137" spans="1:5" ht="12.75">
      <c r="A137" s="15"/>
      <c r="B137" s="15"/>
      <c r="C137" s="15"/>
      <c r="D137" s="15"/>
      <c r="E137" s="15"/>
    </row>
    <row r="138" spans="1:2" ht="12.75">
      <c r="A138" s="3"/>
      <c r="B138" s="3"/>
    </row>
    <row r="139" spans="1:2" ht="12.75">
      <c r="A139" s="3"/>
      <c r="B139" s="3"/>
    </row>
    <row r="140" spans="1:2" ht="12.75">
      <c r="A140" s="16"/>
      <c r="B140" s="16"/>
    </row>
    <row r="141" spans="1:2" ht="12.75">
      <c r="A141" s="16"/>
      <c r="B141" s="16"/>
    </row>
    <row r="143" spans="1:2" ht="12.75">
      <c r="A143" s="1"/>
      <c r="B143" s="1"/>
    </row>
    <row r="144" spans="1:2" ht="12.75">
      <c r="A144" s="17"/>
      <c r="B144" s="17"/>
    </row>
    <row r="145" spans="1:2" ht="12.75">
      <c r="A145" s="18"/>
      <c r="B145" s="18"/>
    </row>
    <row r="146" spans="1:2" ht="12.75">
      <c r="A146" s="19"/>
      <c r="B146" s="19"/>
    </row>
    <row r="147" spans="1:2" ht="12.75">
      <c r="A147" s="19"/>
      <c r="B147" s="19"/>
    </row>
    <row r="148" spans="1:2" ht="12.75">
      <c r="A148" s="19"/>
      <c r="B148" s="19"/>
    </row>
    <row r="149" spans="1:2" ht="12.75">
      <c r="A149" s="19"/>
      <c r="B149" s="19"/>
    </row>
    <row r="150" spans="1:2" ht="12.75">
      <c r="A150" s="20"/>
      <c r="B150" s="20"/>
    </row>
    <row r="151" spans="1:2" ht="12.75">
      <c r="A151" s="17"/>
      <c r="B151" s="17"/>
    </row>
  </sheetData>
  <sheetProtection/>
  <printOptions/>
  <pageMargins left="0.22" right="0.17" top="0.34" bottom="1" header="0.18" footer="0.5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199"/>
  <sheetViews>
    <sheetView zoomScalePageLayoutView="0" workbookViewId="0" topLeftCell="C1">
      <pane xSplit="1" ySplit="4" topLeftCell="D5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F13" sqref="F13"/>
    </sheetView>
  </sheetViews>
  <sheetFormatPr defaultColWidth="9.140625" defaultRowHeight="17.25" customHeight="1"/>
  <cols>
    <col min="1" max="1" width="24.7109375" style="0" customWidth="1"/>
    <col min="2" max="2" width="20.140625" style="0" customWidth="1"/>
    <col min="3" max="3" width="43.00390625" style="0" customWidth="1"/>
    <col min="4" max="5" width="8.57421875" style="9" customWidth="1"/>
    <col min="6" max="6" width="10.7109375" style="90" customWidth="1"/>
    <col min="7" max="7" width="10.7109375" style="9" customWidth="1"/>
    <col min="8" max="14" width="8.57421875" style="9" customWidth="1"/>
    <col min="15" max="18" width="10.421875" style="9" customWidth="1"/>
    <col min="19" max="19" width="10.421875" style="52" customWidth="1"/>
    <col min="21" max="21" width="9.8515625" style="0" customWidth="1"/>
    <col min="25" max="25" width="17.8515625" style="0" customWidth="1"/>
  </cols>
  <sheetData>
    <row r="1" ht="11.25" customHeight="1"/>
    <row r="2" spans="3:19" ht="14.25" customHeight="1">
      <c r="C2" s="39" t="s">
        <v>74</v>
      </c>
      <c r="D2" s="53"/>
      <c r="E2" s="53"/>
      <c r="F2" s="91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3:21" ht="12.75">
      <c r="C3" s="54" t="s">
        <v>29</v>
      </c>
      <c r="D3" s="53"/>
      <c r="E3" s="53"/>
      <c r="F3" s="91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3"/>
      <c r="U3" s="3"/>
    </row>
    <row r="4" spans="2:35" ht="43.5" customHeight="1">
      <c r="B4" t="s">
        <v>30</v>
      </c>
      <c r="C4" s="55" t="s">
        <v>0</v>
      </c>
      <c r="D4" s="56" t="s">
        <v>11</v>
      </c>
      <c r="E4" s="57" t="s">
        <v>31</v>
      </c>
      <c r="F4" s="92" t="s">
        <v>23</v>
      </c>
      <c r="G4" s="57" t="s">
        <v>73</v>
      </c>
      <c r="H4" s="56" t="s">
        <v>18</v>
      </c>
      <c r="I4" s="56" t="s">
        <v>17</v>
      </c>
      <c r="J4" s="57" t="s">
        <v>32</v>
      </c>
      <c r="K4" s="57" t="s">
        <v>33</v>
      </c>
      <c r="L4" s="56" t="s">
        <v>19</v>
      </c>
      <c r="M4" s="58" t="s">
        <v>34</v>
      </c>
      <c r="N4" s="59" t="s">
        <v>15</v>
      </c>
      <c r="O4" s="59" t="s">
        <v>20</v>
      </c>
      <c r="P4" s="59" t="s">
        <v>16</v>
      </c>
      <c r="Q4" s="58" t="s">
        <v>26</v>
      </c>
      <c r="R4" s="58" t="s">
        <v>21</v>
      </c>
      <c r="S4" s="60" t="s">
        <v>22</v>
      </c>
      <c r="T4" s="61"/>
      <c r="U4" s="61"/>
      <c r="V4" s="62"/>
      <c r="W4" s="62"/>
      <c r="X4" s="62"/>
      <c r="Y4" s="63"/>
      <c r="Z4" s="63"/>
      <c r="AI4" s="64"/>
    </row>
    <row r="5" spans="3:35" ht="12.75" customHeight="1">
      <c r="C5" s="65"/>
      <c r="D5" s="66"/>
      <c r="E5" s="61"/>
      <c r="F5" s="93"/>
      <c r="G5" s="61"/>
      <c r="H5" s="66"/>
      <c r="I5" s="66"/>
      <c r="J5" s="61"/>
      <c r="K5" s="61"/>
      <c r="L5" s="66"/>
      <c r="M5" s="67"/>
      <c r="N5" s="67"/>
      <c r="O5" s="67"/>
      <c r="P5" s="67"/>
      <c r="Q5" s="68"/>
      <c r="R5" s="68"/>
      <c r="S5" s="69"/>
      <c r="T5" s="61"/>
      <c r="U5" s="61"/>
      <c r="V5" s="62"/>
      <c r="W5" s="62"/>
      <c r="X5" s="62"/>
      <c r="Y5" s="63"/>
      <c r="Z5" s="63"/>
      <c r="AI5" s="3"/>
    </row>
    <row r="6" spans="1:29" ht="12.75">
      <c r="A6" s="70" t="s">
        <v>35</v>
      </c>
      <c r="B6" s="71" t="s">
        <v>36</v>
      </c>
      <c r="C6" t="s">
        <v>13</v>
      </c>
      <c r="D6" s="41">
        <v>0</v>
      </c>
      <c r="E6" s="41">
        <v>0</v>
      </c>
      <c r="F6" s="94">
        <v>0.087077</v>
      </c>
      <c r="G6" s="41">
        <v>82</v>
      </c>
      <c r="H6" s="41">
        <v>0</v>
      </c>
      <c r="I6" s="41">
        <v>1</v>
      </c>
      <c r="J6" s="41">
        <v>13</v>
      </c>
      <c r="K6" s="41">
        <v>0</v>
      </c>
      <c r="L6" s="73">
        <v>0</v>
      </c>
      <c r="M6" s="74">
        <f aca="true" t="shared" si="0" ref="M6:M19">E6+K6</f>
        <v>0</v>
      </c>
      <c r="N6" s="75">
        <f aca="true" t="shared" si="1" ref="N6:N19">D6+I6+H6</f>
        <v>1</v>
      </c>
      <c r="O6" s="75">
        <f aca="true" t="shared" si="2" ref="O6:O19">IF(F6="",0,D6/F6)</f>
        <v>0</v>
      </c>
      <c r="P6" s="75">
        <f aca="true" t="shared" si="3" ref="P6:P19">IF(F6="",0,N6/F6)</f>
        <v>11.484088794974562</v>
      </c>
      <c r="Q6" s="75">
        <f aca="true" t="shared" si="4" ref="Q6:Q19">IF(F6="",0,(D6+I6)/F6)</f>
        <v>11.484088794974562</v>
      </c>
      <c r="R6" s="75">
        <f aca="true" t="shared" si="5" ref="R6:R19">IF(F6="",0,(M6+J6)/F6)</f>
        <v>149.2931543346693</v>
      </c>
      <c r="S6" s="75">
        <f aca="true" t="shared" si="6" ref="S6:S19">IF((D6+I6)=0,0,(M6+J6)/(D6+I6))</f>
        <v>13</v>
      </c>
      <c r="T6" s="25"/>
      <c r="U6" s="76"/>
      <c r="V6" s="77"/>
      <c r="W6" s="29"/>
      <c r="X6" s="16"/>
      <c r="Z6" s="4"/>
      <c r="AA6" s="13"/>
      <c r="AB6" s="13"/>
      <c r="AC6" s="13"/>
    </row>
    <row r="7" spans="1:29" ht="12.75">
      <c r="A7" s="70" t="s">
        <v>37</v>
      </c>
      <c r="B7" s="71" t="s">
        <v>38</v>
      </c>
      <c r="C7" t="s">
        <v>24</v>
      </c>
      <c r="D7" s="41">
        <v>11</v>
      </c>
      <c r="E7" s="41">
        <v>237</v>
      </c>
      <c r="F7" s="94">
        <v>1.864499</v>
      </c>
      <c r="G7" s="41">
        <v>619</v>
      </c>
      <c r="H7" s="41">
        <v>2</v>
      </c>
      <c r="I7" s="41">
        <v>16</v>
      </c>
      <c r="J7" s="41">
        <v>374</v>
      </c>
      <c r="K7" s="41">
        <v>130</v>
      </c>
      <c r="L7" s="73">
        <v>15</v>
      </c>
      <c r="M7" s="74">
        <f t="shared" si="0"/>
        <v>367</v>
      </c>
      <c r="N7" s="75">
        <f t="shared" si="1"/>
        <v>29</v>
      </c>
      <c r="O7" s="75">
        <f t="shared" si="2"/>
        <v>5.899708178979983</v>
      </c>
      <c r="P7" s="75">
        <f t="shared" si="3"/>
        <v>15.553776108219957</v>
      </c>
      <c r="Q7" s="75">
        <f t="shared" si="4"/>
        <v>14.48110189385996</v>
      </c>
      <c r="R7" s="75">
        <f t="shared" si="5"/>
        <v>397.4257964203789</v>
      </c>
      <c r="S7" s="75">
        <f t="shared" si="6"/>
        <v>27.444444444444443</v>
      </c>
      <c r="T7" s="25"/>
      <c r="U7" s="76"/>
      <c r="V7" s="77"/>
      <c r="W7" s="29"/>
      <c r="X7" s="16"/>
      <c r="Z7" s="4"/>
      <c r="AA7" s="13"/>
      <c r="AB7" s="13"/>
      <c r="AC7" s="13"/>
    </row>
    <row r="8" spans="1:29" ht="12.75">
      <c r="A8" s="70" t="s">
        <v>39</v>
      </c>
      <c r="B8" s="71" t="s">
        <v>40</v>
      </c>
      <c r="C8" t="s">
        <v>14</v>
      </c>
      <c r="D8" s="41">
        <v>0</v>
      </c>
      <c r="E8" s="41">
        <v>0</v>
      </c>
      <c r="F8" s="94">
        <v>0.020187</v>
      </c>
      <c r="G8" s="41">
        <v>2</v>
      </c>
      <c r="H8" s="41">
        <v>0</v>
      </c>
      <c r="I8" s="41">
        <v>0</v>
      </c>
      <c r="J8" s="41">
        <v>0</v>
      </c>
      <c r="K8" s="41">
        <v>0</v>
      </c>
      <c r="L8" s="73">
        <v>0</v>
      </c>
      <c r="M8" s="74">
        <f t="shared" si="0"/>
        <v>0</v>
      </c>
      <c r="N8" s="75">
        <f t="shared" si="1"/>
        <v>0</v>
      </c>
      <c r="O8" s="75">
        <f t="shared" si="2"/>
        <v>0</v>
      </c>
      <c r="P8" s="75">
        <f t="shared" si="3"/>
        <v>0</v>
      </c>
      <c r="Q8" s="75">
        <f t="shared" si="4"/>
        <v>0</v>
      </c>
      <c r="R8" s="75">
        <f t="shared" si="5"/>
        <v>0</v>
      </c>
      <c r="S8" s="75">
        <f t="shared" si="6"/>
        <v>0</v>
      </c>
      <c r="T8" s="25"/>
      <c r="U8" s="76"/>
      <c r="V8" s="77"/>
      <c r="W8" s="29"/>
      <c r="X8" s="16"/>
      <c r="Z8" s="4"/>
      <c r="AA8" s="13"/>
      <c r="AB8" s="13"/>
      <c r="AC8" s="13"/>
    </row>
    <row r="9" spans="1:29" ht="12.75">
      <c r="A9" s="70" t="s">
        <v>41</v>
      </c>
      <c r="B9" s="71" t="s">
        <v>42</v>
      </c>
      <c r="C9" t="s">
        <v>28</v>
      </c>
      <c r="D9" s="41">
        <v>4</v>
      </c>
      <c r="E9" s="41">
        <v>34</v>
      </c>
      <c r="F9" s="94">
        <f>0.436632+0.124053</f>
        <v>0.560685</v>
      </c>
      <c r="G9" s="41">
        <v>528</v>
      </c>
      <c r="H9" s="41">
        <v>1</v>
      </c>
      <c r="I9" s="41">
        <v>17</v>
      </c>
      <c r="J9" s="41">
        <v>219</v>
      </c>
      <c r="K9" s="41">
        <v>22</v>
      </c>
      <c r="L9" s="73">
        <v>3</v>
      </c>
      <c r="M9" s="74">
        <f t="shared" si="0"/>
        <v>56</v>
      </c>
      <c r="N9" s="75">
        <f t="shared" si="1"/>
        <v>22</v>
      </c>
      <c r="O9" s="75">
        <f t="shared" si="2"/>
        <v>7.134130572424802</v>
      </c>
      <c r="P9" s="75">
        <f t="shared" si="3"/>
        <v>39.23771814833641</v>
      </c>
      <c r="Q9" s="75">
        <f t="shared" si="4"/>
        <v>37.45418550523021</v>
      </c>
      <c r="R9" s="75">
        <f t="shared" si="5"/>
        <v>490.47147685420515</v>
      </c>
      <c r="S9" s="75">
        <f t="shared" si="6"/>
        <v>13.095238095238095</v>
      </c>
      <c r="T9" s="25"/>
      <c r="U9" s="76"/>
      <c r="V9" s="77"/>
      <c r="W9" s="29"/>
      <c r="X9" s="25"/>
      <c r="Y9" s="16"/>
      <c r="Z9" s="4"/>
      <c r="AA9" s="13"/>
      <c r="AB9" s="13"/>
      <c r="AC9" s="13"/>
    </row>
    <row r="10" spans="1:29" ht="12.75">
      <c r="A10" s="78" t="s">
        <v>44</v>
      </c>
      <c r="B10" s="71" t="s">
        <v>43</v>
      </c>
      <c r="C10" t="s">
        <v>1</v>
      </c>
      <c r="D10" s="41">
        <v>7</v>
      </c>
      <c r="E10" s="41">
        <v>57</v>
      </c>
      <c r="F10" s="94">
        <v>0.30254</v>
      </c>
      <c r="G10" s="41">
        <v>312</v>
      </c>
      <c r="H10" s="41">
        <v>39</v>
      </c>
      <c r="I10" s="41">
        <v>0</v>
      </c>
      <c r="J10" s="41">
        <v>0</v>
      </c>
      <c r="K10" s="41">
        <v>1</v>
      </c>
      <c r="L10" s="73">
        <v>3</v>
      </c>
      <c r="M10" s="74">
        <f t="shared" si="0"/>
        <v>58</v>
      </c>
      <c r="N10" s="75">
        <f t="shared" si="1"/>
        <v>46</v>
      </c>
      <c r="O10" s="75">
        <f t="shared" si="2"/>
        <v>23.13743637204998</v>
      </c>
      <c r="P10" s="75">
        <f t="shared" si="3"/>
        <v>152.04601044489985</v>
      </c>
      <c r="Q10" s="75">
        <f t="shared" si="4"/>
        <v>23.13743637204998</v>
      </c>
      <c r="R10" s="75">
        <f t="shared" si="5"/>
        <v>191.71018708269983</v>
      </c>
      <c r="S10" s="75">
        <f t="shared" si="6"/>
        <v>8.285714285714286</v>
      </c>
      <c r="T10" s="25"/>
      <c r="U10" s="76"/>
      <c r="V10" s="77"/>
      <c r="W10" s="29"/>
      <c r="X10" s="16"/>
      <c r="Z10" s="4"/>
      <c r="AA10" s="13"/>
      <c r="AB10" s="13"/>
      <c r="AC10" s="13"/>
    </row>
    <row r="11" spans="1:29" ht="12.75">
      <c r="A11" s="79" t="s">
        <v>46</v>
      </c>
      <c r="B11" s="24" t="s">
        <v>45</v>
      </c>
      <c r="C11" t="s">
        <v>2</v>
      </c>
      <c r="D11" s="41">
        <v>10</v>
      </c>
      <c r="E11" s="41">
        <v>122</v>
      </c>
      <c r="F11" s="94">
        <v>0.883002</v>
      </c>
      <c r="G11" s="41">
        <v>264</v>
      </c>
      <c r="H11" s="41">
        <v>7</v>
      </c>
      <c r="I11" s="41">
        <v>7</v>
      </c>
      <c r="J11" s="41">
        <v>63</v>
      </c>
      <c r="K11" s="41">
        <v>234</v>
      </c>
      <c r="L11" s="73">
        <v>0</v>
      </c>
      <c r="M11" s="74">
        <f t="shared" si="0"/>
        <v>356</v>
      </c>
      <c r="N11" s="75">
        <f t="shared" si="1"/>
        <v>24</v>
      </c>
      <c r="O11" s="75">
        <f t="shared" si="2"/>
        <v>11.325002661375626</v>
      </c>
      <c r="P11" s="75">
        <f t="shared" si="3"/>
        <v>27.180006387301503</v>
      </c>
      <c r="Q11" s="75">
        <f t="shared" si="4"/>
        <v>19.252504524338566</v>
      </c>
      <c r="R11" s="75">
        <f t="shared" si="5"/>
        <v>474.51761151163873</v>
      </c>
      <c r="S11" s="75">
        <f t="shared" si="6"/>
        <v>24.647058823529413</v>
      </c>
      <c r="T11" s="25"/>
      <c r="U11" s="76"/>
      <c r="V11" s="77"/>
      <c r="W11" s="25"/>
      <c r="Z11" s="4"/>
      <c r="AA11" s="13"/>
      <c r="AB11" s="13"/>
      <c r="AC11" s="13"/>
    </row>
    <row r="12" spans="1:29" ht="12.75">
      <c r="A12" s="79"/>
      <c r="B12" s="24"/>
      <c r="C12" t="s">
        <v>9</v>
      </c>
      <c r="D12" s="41">
        <v>13</v>
      </c>
      <c r="E12" s="41">
        <v>111</v>
      </c>
      <c r="F12" s="94">
        <v>0.869387</v>
      </c>
      <c r="G12" s="41">
        <v>757</v>
      </c>
      <c r="H12" s="41">
        <v>7</v>
      </c>
      <c r="I12" s="41">
        <v>12</v>
      </c>
      <c r="J12" s="41">
        <v>155</v>
      </c>
      <c r="K12" s="41">
        <v>48</v>
      </c>
      <c r="L12" s="73">
        <v>1</v>
      </c>
      <c r="M12" s="74">
        <f t="shared" si="0"/>
        <v>159</v>
      </c>
      <c r="N12" s="75">
        <f t="shared" si="1"/>
        <v>32</v>
      </c>
      <c r="O12" s="75">
        <f t="shared" si="2"/>
        <v>14.95306463059604</v>
      </c>
      <c r="P12" s="75">
        <f t="shared" si="3"/>
        <v>36.80754370608256</v>
      </c>
      <c r="Q12" s="75">
        <f t="shared" si="4"/>
        <v>28.755893520377</v>
      </c>
      <c r="R12" s="75">
        <f t="shared" si="5"/>
        <v>361.17402261593514</v>
      </c>
      <c r="S12" s="75">
        <f t="shared" si="6"/>
        <v>12.56</v>
      </c>
      <c r="T12" s="25"/>
      <c r="U12" s="76"/>
      <c r="V12" s="77"/>
      <c r="W12" s="25"/>
      <c r="Z12" s="4"/>
      <c r="AA12" s="13"/>
      <c r="AB12" s="13"/>
      <c r="AC12" s="13"/>
    </row>
    <row r="13" spans="1:29" ht="14.25" customHeight="1">
      <c r="A13" s="78" t="s">
        <v>47</v>
      </c>
      <c r="B13" s="71"/>
      <c r="C13" t="s">
        <v>8</v>
      </c>
      <c r="D13" s="41">
        <v>2</v>
      </c>
      <c r="E13" s="41">
        <v>25</v>
      </c>
      <c r="F13" s="94">
        <v>1.018173</v>
      </c>
      <c r="G13" s="41">
        <v>574</v>
      </c>
      <c r="H13" s="41">
        <v>4</v>
      </c>
      <c r="I13" s="41">
        <v>0</v>
      </c>
      <c r="J13" s="41">
        <v>0</v>
      </c>
      <c r="K13" s="41">
        <v>0</v>
      </c>
      <c r="L13" s="73">
        <v>20</v>
      </c>
      <c r="M13" s="74">
        <f t="shared" si="0"/>
        <v>25</v>
      </c>
      <c r="N13" s="75">
        <f t="shared" si="1"/>
        <v>6</v>
      </c>
      <c r="O13" s="75">
        <f t="shared" si="2"/>
        <v>1.9643027265503996</v>
      </c>
      <c r="P13" s="75">
        <f t="shared" si="3"/>
        <v>5.892908179651199</v>
      </c>
      <c r="Q13" s="75">
        <f t="shared" si="4"/>
        <v>1.9643027265503996</v>
      </c>
      <c r="R13" s="75">
        <f t="shared" si="5"/>
        <v>24.553784081879996</v>
      </c>
      <c r="S13" s="75">
        <f t="shared" si="6"/>
        <v>12.5</v>
      </c>
      <c r="T13" s="25"/>
      <c r="U13" s="76"/>
      <c r="V13" s="77"/>
      <c r="W13" s="29"/>
      <c r="X13" s="16"/>
      <c r="Z13" s="4"/>
      <c r="AA13" s="13"/>
      <c r="AB13" s="13"/>
      <c r="AC13" s="13"/>
    </row>
    <row r="14" spans="1:29" ht="12.75">
      <c r="A14" s="70" t="s">
        <v>48</v>
      </c>
      <c r="B14" s="71" t="s">
        <v>49</v>
      </c>
      <c r="C14" t="s">
        <v>25</v>
      </c>
      <c r="D14" s="41">
        <v>1</v>
      </c>
      <c r="E14" s="41">
        <v>0</v>
      </c>
      <c r="F14" s="94">
        <v>0.77443</v>
      </c>
      <c r="G14" s="41">
        <v>842</v>
      </c>
      <c r="H14" s="41">
        <v>2</v>
      </c>
      <c r="I14" s="41">
        <v>4</v>
      </c>
      <c r="J14" s="41">
        <v>19</v>
      </c>
      <c r="K14" s="41">
        <v>0</v>
      </c>
      <c r="L14" s="73">
        <v>5</v>
      </c>
      <c r="M14" s="74">
        <f t="shared" si="0"/>
        <v>0</v>
      </c>
      <c r="N14" s="75">
        <f t="shared" si="1"/>
        <v>7</v>
      </c>
      <c r="O14" s="75">
        <f t="shared" si="2"/>
        <v>1.2912722905879164</v>
      </c>
      <c r="P14" s="75">
        <f t="shared" si="3"/>
        <v>9.038906034115415</v>
      </c>
      <c r="Q14" s="75">
        <f t="shared" si="4"/>
        <v>6.456361452939582</v>
      </c>
      <c r="R14" s="75">
        <f t="shared" si="5"/>
        <v>24.53417352117041</v>
      </c>
      <c r="S14" s="75">
        <f t="shared" si="6"/>
        <v>3.8</v>
      </c>
      <c r="T14" s="25"/>
      <c r="U14" s="76"/>
      <c r="V14" s="77"/>
      <c r="W14" s="29"/>
      <c r="X14" s="16"/>
      <c r="Z14" s="4"/>
      <c r="AA14" s="13"/>
      <c r="AB14" s="13"/>
      <c r="AC14" s="13"/>
    </row>
    <row r="15" spans="1:29" ht="12.75">
      <c r="A15" s="70" t="s">
        <v>50</v>
      </c>
      <c r="B15" s="71" t="s">
        <v>51</v>
      </c>
      <c r="C15" t="s">
        <v>3</v>
      </c>
      <c r="D15" s="41">
        <v>16</v>
      </c>
      <c r="E15" s="41">
        <v>171</v>
      </c>
      <c r="F15" s="94">
        <v>1.152537</v>
      </c>
      <c r="G15" s="41">
        <v>913</v>
      </c>
      <c r="H15" s="41">
        <v>101</v>
      </c>
      <c r="I15" s="41">
        <v>31</v>
      </c>
      <c r="J15" s="41">
        <v>458</v>
      </c>
      <c r="K15" s="41">
        <v>112</v>
      </c>
      <c r="L15" s="73">
        <v>0</v>
      </c>
      <c r="M15" s="74">
        <f t="shared" si="0"/>
        <v>283</v>
      </c>
      <c r="N15" s="75">
        <f t="shared" si="1"/>
        <v>148</v>
      </c>
      <c r="O15" s="75">
        <f t="shared" si="2"/>
        <v>13.88241765774114</v>
      </c>
      <c r="P15" s="75">
        <f t="shared" si="3"/>
        <v>128.41236333410555</v>
      </c>
      <c r="Q15" s="75">
        <f t="shared" si="4"/>
        <v>40.7796018696146</v>
      </c>
      <c r="R15" s="75">
        <f t="shared" si="5"/>
        <v>642.9294677741366</v>
      </c>
      <c r="S15" s="75">
        <f t="shared" si="6"/>
        <v>15.76595744680851</v>
      </c>
      <c r="T15" s="25"/>
      <c r="U15" s="76"/>
      <c r="V15" s="77"/>
      <c r="W15" s="29"/>
      <c r="X15" s="16"/>
      <c r="Z15" s="4"/>
      <c r="AA15" s="13"/>
      <c r="AB15" s="13"/>
      <c r="AC15" s="13"/>
    </row>
    <row r="16" spans="1:29" ht="12.75">
      <c r="A16" s="70" t="s">
        <v>52</v>
      </c>
      <c r="B16" s="71" t="s">
        <v>53</v>
      </c>
      <c r="C16" t="s">
        <v>12</v>
      </c>
      <c r="D16" s="41">
        <v>3</v>
      </c>
      <c r="E16" s="41">
        <v>38</v>
      </c>
      <c r="F16" s="94">
        <v>0.691942</v>
      </c>
      <c r="G16" s="41">
        <v>513</v>
      </c>
      <c r="H16" s="41">
        <v>2</v>
      </c>
      <c r="I16" s="80">
        <v>10</v>
      </c>
      <c r="J16" s="41">
        <v>184</v>
      </c>
      <c r="K16" s="41">
        <v>129</v>
      </c>
      <c r="L16" s="73">
        <v>2</v>
      </c>
      <c r="M16" s="74">
        <f t="shared" si="0"/>
        <v>167</v>
      </c>
      <c r="N16" s="75">
        <f t="shared" si="1"/>
        <v>15</v>
      </c>
      <c r="O16" s="75">
        <f t="shared" si="2"/>
        <v>4.3356235060164</v>
      </c>
      <c r="P16" s="75">
        <f t="shared" si="3"/>
        <v>21.678117530082</v>
      </c>
      <c r="Q16" s="75">
        <f t="shared" si="4"/>
        <v>18.787701859404404</v>
      </c>
      <c r="R16" s="75">
        <f t="shared" si="5"/>
        <v>507.2679502039189</v>
      </c>
      <c r="S16" s="75">
        <f t="shared" si="6"/>
        <v>27</v>
      </c>
      <c r="T16" s="25"/>
      <c r="U16" s="76"/>
      <c r="V16" s="77"/>
      <c r="W16" s="29"/>
      <c r="X16" s="16"/>
      <c r="Z16" s="4"/>
      <c r="AA16" s="13"/>
      <c r="AB16" s="13"/>
      <c r="AC16" s="13"/>
    </row>
    <row r="17" spans="1:29" ht="12.75">
      <c r="A17" s="70" t="s">
        <v>54</v>
      </c>
      <c r="B17" s="71" t="s">
        <v>55</v>
      </c>
      <c r="C17" t="s">
        <v>4</v>
      </c>
      <c r="D17" s="41">
        <v>6</v>
      </c>
      <c r="E17" s="41">
        <v>107</v>
      </c>
      <c r="F17" s="94">
        <v>0.827711</v>
      </c>
      <c r="G17" s="41">
        <v>768</v>
      </c>
      <c r="H17" s="41">
        <v>4</v>
      </c>
      <c r="I17" s="41">
        <v>17</v>
      </c>
      <c r="J17" s="41">
        <v>245</v>
      </c>
      <c r="K17" s="41">
        <v>50</v>
      </c>
      <c r="L17" s="73">
        <v>4</v>
      </c>
      <c r="M17" s="74">
        <f t="shared" si="0"/>
        <v>157</v>
      </c>
      <c r="N17" s="75">
        <f t="shared" si="1"/>
        <v>27</v>
      </c>
      <c r="O17" s="75">
        <f t="shared" si="2"/>
        <v>7.248906925243231</v>
      </c>
      <c r="P17" s="75">
        <f t="shared" si="3"/>
        <v>32.62008116359454</v>
      </c>
      <c r="Q17" s="75">
        <f t="shared" si="4"/>
        <v>27.78747654676572</v>
      </c>
      <c r="R17" s="75">
        <f t="shared" si="5"/>
        <v>485.67676399129647</v>
      </c>
      <c r="S17" s="75">
        <f t="shared" si="6"/>
        <v>17.47826086956522</v>
      </c>
      <c r="T17" s="25"/>
      <c r="U17" s="76"/>
      <c r="V17" s="77"/>
      <c r="W17" s="29"/>
      <c r="X17" s="16"/>
      <c r="Z17" s="4"/>
      <c r="AA17" s="13"/>
      <c r="AB17" s="13"/>
      <c r="AC17" s="13"/>
    </row>
    <row r="18" spans="1:29" ht="12.75">
      <c r="A18" s="70" t="s">
        <v>56</v>
      </c>
      <c r="B18" s="71" t="s">
        <v>57</v>
      </c>
      <c r="C18" t="s">
        <v>5</v>
      </c>
      <c r="D18" s="41">
        <v>2</v>
      </c>
      <c r="E18" s="41">
        <v>12</v>
      </c>
      <c r="F18" s="94">
        <v>0.814537</v>
      </c>
      <c r="G18" s="41">
        <v>470</v>
      </c>
      <c r="H18" s="41">
        <v>9</v>
      </c>
      <c r="I18" s="41">
        <v>1</v>
      </c>
      <c r="J18" s="41">
        <v>3</v>
      </c>
      <c r="K18" s="41">
        <v>0</v>
      </c>
      <c r="L18" s="73">
        <v>0</v>
      </c>
      <c r="M18" s="74">
        <f t="shared" si="0"/>
        <v>12</v>
      </c>
      <c r="N18" s="75">
        <f t="shared" si="1"/>
        <v>12</v>
      </c>
      <c r="O18" s="75">
        <f t="shared" si="2"/>
        <v>2.4553826284134423</v>
      </c>
      <c r="P18" s="75">
        <f t="shared" si="3"/>
        <v>14.732295770480654</v>
      </c>
      <c r="Q18" s="75">
        <f t="shared" si="4"/>
        <v>3.6830739426201635</v>
      </c>
      <c r="R18" s="75">
        <f t="shared" si="5"/>
        <v>18.41536971310082</v>
      </c>
      <c r="S18" s="75">
        <f t="shared" si="6"/>
        <v>5</v>
      </c>
      <c r="T18" s="25"/>
      <c r="U18" s="76"/>
      <c r="V18" s="77"/>
      <c r="W18" s="29"/>
      <c r="X18" s="16"/>
      <c r="Z18" s="4"/>
      <c r="AA18" s="13"/>
      <c r="AB18" s="13"/>
      <c r="AC18" s="13"/>
    </row>
    <row r="19" spans="1:29" ht="12.75">
      <c r="A19" s="79" t="s">
        <v>58</v>
      </c>
      <c r="B19" s="24" t="s">
        <v>59</v>
      </c>
      <c r="C19" t="s">
        <v>6</v>
      </c>
      <c r="D19" s="41">
        <v>0</v>
      </c>
      <c r="E19" s="41">
        <v>0</v>
      </c>
      <c r="F19" s="94">
        <v>0.90933</v>
      </c>
      <c r="G19" s="41">
        <v>470</v>
      </c>
      <c r="H19" s="41">
        <v>17</v>
      </c>
      <c r="I19" s="41">
        <v>0</v>
      </c>
      <c r="J19" s="41">
        <v>0</v>
      </c>
      <c r="K19" s="41">
        <v>0</v>
      </c>
      <c r="L19" s="73">
        <v>3</v>
      </c>
      <c r="M19" s="74">
        <f t="shared" si="0"/>
        <v>0</v>
      </c>
      <c r="N19" s="75">
        <f t="shared" si="1"/>
        <v>17</v>
      </c>
      <c r="O19" s="75">
        <f t="shared" si="2"/>
        <v>0</v>
      </c>
      <c r="P19" s="75">
        <f t="shared" si="3"/>
        <v>18.69508319312021</v>
      </c>
      <c r="Q19" s="75">
        <f t="shared" si="4"/>
        <v>0</v>
      </c>
      <c r="R19" s="75">
        <f t="shared" si="5"/>
        <v>0</v>
      </c>
      <c r="S19" s="75">
        <f t="shared" si="6"/>
        <v>0</v>
      </c>
      <c r="T19" s="25"/>
      <c r="U19" s="76"/>
      <c r="V19" s="77"/>
      <c r="W19" s="29"/>
      <c r="X19" s="16"/>
      <c r="Z19" s="4"/>
      <c r="AA19" s="13"/>
      <c r="AB19" s="13"/>
      <c r="AC19" s="13"/>
    </row>
    <row r="20" spans="2:24" ht="12.75">
      <c r="B20" s="6"/>
      <c r="C20" s="72"/>
      <c r="D20" s="40"/>
      <c r="E20" s="40"/>
      <c r="F20" s="44"/>
      <c r="G20" s="40"/>
      <c r="H20" s="41"/>
      <c r="I20" s="41"/>
      <c r="J20" s="41"/>
      <c r="K20" s="41"/>
      <c r="L20" s="41"/>
      <c r="M20" s="75"/>
      <c r="N20" s="75"/>
      <c r="O20" s="75"/>
      <c r="P20" s="75"/>
      <c r="Q20" s="75"/>
      <c r="R20" s="75"/>
      <c r="S20" s="75"/>
      <c r="U20" s="76"/>
      <c r="V20" s="81"/>
      <c r="W20" s="29"/>
      <c r="X20" s="16"/>
    </row>
    <row r="21" spans="2:24" ht="13.5" thickBot="1">
      <c r="B21" s="6"/>
      <c r="C21" s="82" t="s">
        <v>60</v>
      </c>
      <c r="D21" s="43">
        <f aca="true" t="shared" si="7" ref="D21:N21">SUM(D5:D20)</f>
        <v>75</v>
      </c>
      <c r="E21" s="43">
        <f t="shared" si="7"/>
        <v>914</v>
      </c>
      <c r="F21" s="45">
        <f t="shared" si="7"/>
        <v>10.776037</v>
      </c>
      <c r="G21" s="43">
        <f t="shared" si="7"/>
        <v>7114</v>
      </c>
      <c r="H21" s="43">
        <f t="shared" si="7"/>
        <v>195</v>
      </c>
      <c r="I21" s="43">
        <f t="shared" si="7"/>
        <v>116</v>
      </c>
      <c r="J21" s="43">
        <f t="shared" si="7"/>
        <v>1733</v>
      </c>
      <c r="K21" s="43">
        <f t="shared" si="7"/>
        <v>726</v>
      </c>
      <c r="L21" s="43">
        <f t="shared" si="7"/>
        <v>56</v>
      </c>
      <c r="M21" s="43">
        <f t="shared" si="7"/>
        <v>1640</v>
      </c>
      <c r="N21" s="43">
        <f t="shared" si="7"/>
        <v>386</v>
      </c>
      <c r="O21" s="51">
        <f>IF(F21=0,0,D21/F21)</f>
        <v>6.959887015978137</v>
      </c>
      <c r="P21" s="51">
        <f>IF(F21=0,0,N21/F21)</f>
        <v>35.820218508900815</v>
      </c>
      <c r="Q21" s="51">
        <f>IF(F21=0,0,(D21+I21)/F21)</f>
        <v>17.724512267357657</v>
      </c>
      <c r="R21" s="43">
        <f>IF(F21=0,0,(M21+J21)/F21)</f>
        <v>313.00931873192343</v>
      </c>
      <c r="S21" s="51">
        <f>IF((D21+I21)=0,"",(M21+J21)/(D21+I21))</f>
        <v>17.659685863874344</v>
      </c>
      <c r="W21" s="29"/>
      <c r="X21" s="16"/>
    </row>
    <row r="22" spans="3:24" ht="12.75">
      <c r="C22" s="38"/>
      <c r="D22" s="40"/>
      <c r="E22" s="40"/>
      <c r="F22" s="44"/>
      <c r="G22" s="40"/>
      <c r="H22" s="42"/>
      <c r="I22" s="42"/>
      <c r="J22" s="42"/>
      <c r="K22" s="42"/>
      <c r="L22" s="42"/>
      <c r="M22" s="42"/>
      <c r="N22" s="41"/>
      <c r="O22" s="83"/>
      <c r="P22" s="50"/>
      <c r="Q22" s="50"/>
      <c r="R22" s="41"/>
      <c r="S22" s="50"/>
      <c r="W22" s="29"/>
      <c r="X22" s="16"/>
    </row>
    <row r="23" spans="3:24" ht="12.75">
      <c r="C23" s="16"/>
      <c r="D23" s="84"/>
      <c r="E23" s="84"/>
      <c r="F23" s="95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5"/>
      <c r="W23" s="16"/>
      <c r="X23" s="16"/>
    </row>
    <row r="24" spans="3:19" ht="12.75">
      <c r="C24" s="18"/>
      <c r="D24" s="84"/>
      <c r="E24" s="84"/>
      <c r="F24" s="95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5"/>
    </row>
    <row r="25" spans="3:13" ht="12.75">
      <c r="C25" s="5"/>
      <c r="D25" s="86"/>
      <c r="E25" s="86"/>
      <c r="F25" s="96"/>
      <c r="G25" s="86"/>
      <c r="L25" s="84"/>
      <c r="M25" s="84"/>
    </row>
    <row r="26" spans="3:13" ht="12.75">
      <c r="C26" s="5"/>
      <c r="D26" s="87"/>
      <c r="E26" s="87"/>
      <c r="F26" s="97"/>
      <c r="G26" s="87"/>
      <c r="L26" s="84"/>
      <c r="M26" s="84"/>
    </row>
    <row r="27" spans="3:13" ht="12.75">
      <c r="C27" s="5"/>
      <c r="D27" s="88"/>
      <c r="E27" s="88"/>
      <c r="F27" s="96"/>
      <c r="G27" s="88"/>
      <c r="L27" s="84"/>
      <c r="M27" s="84"/>
    </row>
    <row r="28" spans="3:13" ht="12.75">
      <c r="C28" s="5"/>
      <c r="D28" s="88"/>
      <c r="E28" s="88"/>
      <c r="F28" s="96"/>
      <c r="G28" s="88"/>
      <c r="L28" s="84"/>
      <c r="M28" s="84"/>
    </row>
    <row r="29" spans="1:13" ht="12.75">
      <c r="A29" s="70"/>
      <c r="C29" s="7"/>
      <c r="D29" s="86"/>
      <c r="E29" s="86"/>
      <c r="F29" s="96"/>
      <c r="G29" s="86"/>
      <c r="L29" s="84"/>
      <c r="M29" s="84"/>
    </row>
    <row r="30" spans="1:13" ht="12.75">
      <c r="A30" s="70"/>
      <c r="C30" s="70"/>
      <c r="D30" s="52"/>
      <c r="E30" s="52"/>
      <c r="G30" s="52"/>
      <c r="L30" s="84"/>
      <c r="M30" s="84"/>
    </row>
    <row r="31" spans="1:13" ht="12.75">
      <c r="A31" s="70"/>
      <c r="C31" s="70"/>
      <c r="D31" s="52"/>
      <c r="E31" s="52"/>
      <c r="G31" s="52"/>
      <c r="L31" s="84"/>
      <c r="M31" s="84"/>
    </row>
    <row r="32" spans="1:13" ht="12.75">
      <c r="A32" s="78"/>
      <c r="B32" s="6"/>
      <c r="C32" s="70"/>
      <c r="D32" s="52"/>
      <c r="E32" s="52"/>
      <c r="G32" s="52"/>
      <c r="L32" s="84"/>
      <c r="M32" s="84"/>
    </row>
    <row r="33" spans="1:7" ht="12.75">
      <c r="A33" s="79"/>
      <c r="B33" s="6"/>
      <c r="C33" s="70"/>
      <c r="D33" s="89"/>
      <c r="E33" s="89"/>
      <c r="F33" s="96"/>
      <c r="G33" s="89"/>
    </row>
    <row r="34" spans="1:7" ht="12.75">
      <c r="A34" s="70"/>
      <c r="B34" s="6"/>
      <c r="C34" s="70"/>
      <c r="D34" s="89"/>
      <c r="E34" s="89"/>
      <c r="F34" s="96"/>
      <c r="G34" s="89"/>
    </row>
    <row r="35" spans="1:7" ht="12.75">
      <c r="A35" s="78"/>
      <c r="B35" s="6"/>
      <c r="C35" s="70"/>
      <c r="D35" s="52"/>
      <c r="E35" s="52"/>
      <c r="G35" s="52"/>
    </row>
    <row r="36" spans="1:7" ht="12.75">
      <c r="A36" s="70"/>
      <c r="B36" s="6"/>
      <c r="C36" s="78"/>
      <c r="D36" s="89"/>
      <c r="E36" s="89"/>
      <c r="F36" s="96"/>
      <c r="G36" s="89"/>
    </row>
    <row r="37" spans="1:7" ht="12.75">
      <c r="A37" s="70"/>
      <c r="B37" s="6"/>
      <c r="C37" s="70"/>
      <c r="D37" s="52"/>
      <c r="E37" s="52"/>
      <c r="G37" s="52"/>
    </row>
    <row r="38" spans="1:7" ht="12.75">
      <c r="A38" s="70"/>
      <c r="B38" s="6"/>
      <c r="C38" s="79"/>
      <c r="D38" s="52"/>
      <c r="E38" s="52"/>
      <c r="G38" s="52"/>
    </row>
    <row r="39" spans="1:7" ht="12.75">
      <c r="A39" s="70"/>
      <c r="B39" s="6"/>
      <c r="C39" s="70"/>
      <c r="D39" s="89"/>
      <c r="E39" s="89"/>
      <c r="F39" s="96"/>
      <c r="G39" s="89"/>
    </row>
    <row r="40" spans="1:7" ht="12.75">
      <c r="A40" s="70"/>
      <c r="B40" s="6"/>
      <c r="C40" s="70"/>
      <c r="D40" s="89"/>
      <c r="E40" s="89"/>
      <c r="F40" s="96"/>
      <c r="G40" s="89"/>
    </row>
    <row r="41" spans="1:7" ht="12.75">
      <c r="A41" s="79"/>
      <c r="B41" s="30"/>
      <c r="C41" s="70"/>
      <c r="D41" s="89"/>
      <c r="E41" s="89"/>
      <c r="F41" s="96"/>
      <c r="G41" s="89"/>
    </row>
    <row r="42" spans="1:7" ht="12.75">
      <c r="A42" s="70"/>
      <c r="B42" s="6"/>
      <c r="C42" s="70"/>
      <c r="D42" s="89"/>
      <c r="E42" s="89"/>
      <c r="F42" s="96"/>
      <c r="G42" s="89"/>
    </row>
    <row r="43" spans="1:7" ht="12.75">
      <c r="A43" s="70"/>
      <c r="B43" s="6"/>
      <c r="C43" s="79"/>
      <c r="D43" s="89"/>
      <c r="E43" s="89"/>
      <c r="F43" s="96"/>
      <c r="G43" s="89"/>
    </row>
    <row r="44" spans="1:7" ht="12.75">
      <c r="A44" s="70"/>
      <c r="B44" s="6"/>
      <c r="C44" s="79"/>
      <c r="D44" s="52"/>
      <c r="E44" s="52"/>
      <c r="G44" s="52"/>
    </row>
    <row r="45" spans="1:7" ht="12.75">
      <c r="A45" s="78"/>
      <c r="B45" s="6"/>
      <c r="C45" s="70"/>
      <c r="D45" s="52"/>
      <c r="E45" s="52"/>
      <c r="G45" s="52"/>
    </row>
    <row r="46" spans="1:7" ht="12.75">
      <c r="A46" s="78"/>
      <c r="B46" s="6"/>
      <c r="C46" s="70"/>
      <c r="D46" s="89"/>
      <c r="E46" s="89"/>
      <c r="F46" s="96"/>
      <c r="G46" s="89"/>
    </row>
    <row r="47" spans="1:7" ht="12.75">
      <c r="A47" s="70"/>
      <c r="B47" s="6"/>
      <c r="C47" s="79"/>
      <c r="D47" s="52"/>
      <c r="E47" s="52"/>
      <c r="G47" s="52"/>
    </row>
    <row r="48" spans="1:7" ht="12.75">
      <c r="A48" s="70"/>
      <c r="B48" s="6"/>
      <c r="C48" s="70"/>
      <c r="D48" s="52"/>
      <c r="E48" s="52"/>
      <c r="G48" s="52"/>
    </row>
    <row r="49" spans="1:7" ht="12.75">
      <c r="A49" s="79"/>
      <c r="B49" s="6"/>
      <c r="C49" s="70"/>
      <c r="D49" s="89"/>
      <c r="E49" s="89"/>
      <c r="F49" s="96"/>
      <c r="G49" s="89"/>
    </row>
    <row r="50" spans="1:7" ht="12.75">
      <c r="A50" s="70"/>
      <c r="B50" s="6"/>
      <c r="C50" s="70"/>
      <c r="D50" s="52"/>
      <c r="E50" s="52"/>
      <c r="G50" s="52"/>
    </row>
    <row r="51" spans="1:7" ht="12.75">
      <c r="A51" s="70"/>
      <c r="B51" s="6"/>
      <c r="C51" s="70"/>
      <c r="D51" s="52"/>
      <c r="E51" s="52"/>
      <c r="G51" s="52"/>
    </row>
    <row r="52" spans="1:7" ht="12.75">
      <c r="A52" s="79"/>
      <c r="B52" s="6"/>
      <c r="C52" s="70"/>
      <c r="D52" s="89"/>
      <c r="E52" s="89"/>
      <c r="F52" s="96"/>
      <c r="G52" s="89"/>
    </row>
    <row r="53" spans="1:7" ht="12.75">
      <c r="A53" s="79"/>
      <c r="B53" s="6"/>
      <c r="C53" s="70"/>
      <c r="D53" s="89"/>
      <c r="E53" s="89"/>
      <c r="F53" s="96"/>
      <c r="G53" s="89"/>
    </row>
    <row r="54" spans="1:7" ht="12.75">
      <c r="A54" s="70"/>
      <c r="B54" s="6"/>
      <c r="C54" s="70"/>
      <c r="D54" s="52"/>
      <c r="E54" s="52"/>
      <c r="G54" s="52"/>
    </row>
    <row r="55" spans="1:7" ht="12.75">
      <c r="A55" s="70"/>
      <c r="B55" s="6"/>
      <c r="C55" s="70"/>
      <c r="D55" s="52"/>
      <c r="E55" s="52"/>
      <c r="G55" s="52"/>
    </row>
    <row r="56" spans="1:7" ht="12.75">
      <c r="A56" s="79"/>
      <c r="B56" s="6"/>
      <c r="C56" s="78"/>
      <c r="D56" s="89"/>
      <c r="E56" s="89"/>
      <c r="F56" s="96"/>
      <c r="G56" s="89"/>
    </row>
    <row r="57" spans="1:7" ht="12.75">
      <c r="A57" s="79"/>
      <c r="B57" s="6"/>
      <c r="C57" s="70"/>
      <c r="D57" s="89"/>
      <c r="E57" s="89"/>
      <c r="F57" s="96"/>
      <c r="G57" s="89"/>
    </row>
    <row r="58" spans="1:7" ht="12.75">
      <c r="A58" s="79"/>
      <c r="B58" s="6"/>
      <c r="C58" s="79"/>
      <c r="D58" s="89"/>
      <c r="E58" s="89"/>
      <c r="F58" s="96"/>
      <c r="G58" s="89"/>
    </row>
    <row r="59" spans="1:7" ht="12.75">
      <c r="A59" s="79"/>
      <c r="B59" s="6"/>
      <c r="C59" s="78"/>
      <c r="D59" s="52"/>
      <c r="E59" s="52"/>
      <c r="G59" s="52"/>
    </row>
    <row r="60" spans="1:7" ht="12.75">
      <c r="A60" s="70"/>
      <c r="B60" s="6"/>
      <c r="C60" s="70"/>
      <c r="D60" s="89"/>
      <c r="E60" s="89"/>
      <c r="F60" s="96"/>
      <c r="G60" s="89"/>
    </row>
    <row r="61" spans="1:7" ht="12.75">
      <c r="A61" s="70"/>
      <c r="B61" s="6"/>
      <c r="C61" s="79"/>
      <c r="D61" s="52"/>
      <c r="E61" s="52"/>
      <c r="G61" s="52"/>
    </row>
    <row r="62" spans="1:3" ht="12.75">
      <c r="A62" s="70"/>
      <c r="B62" s="6"/>
      <c r="C62" s="78"/>
    </row>
    <row r="63" spans="1:7" ht="12.75">
      <c r="A63" s="70"/>
      <c r="B63" s="6"/>
      <c r="C63" s="70"/>
      <c r="D63" s="89"/>
      <c r="E63" s="89"/>
      <c r="F63" s="96"/>
      <c r="G63" s="89"/>
    </row>
    <row r="64" spans="1:7" ht="12.75">
      <c r="A64" s="70"/>
      <c r="B64" s="6"/>
      <c r="C64" s="79"/>
      <c r="D64" s="52"/>
      <c r="E64" s="52"/>
      <c r="G64" s="52"/>
    </row>
    <row r="65" spans="1:7" ht="12.75">
      <c r="A65" s="79"/>
      <c r="B65" s="6"/>
      <c r="C65" s="70"/>
      <c r="D65" s="89"/>
      <c r="E65" s="89"/>
      <c r="F65" s="96"/>
      <c r="G65" s="89"/>
    </row>
    <row r="66" spans="1:7" ht="12.75">
      <c r="A66" s="79"/>
      <c r="B66" s="6"/>
      <c r="C66" s="79"/>
      <c r="D66" s="89"/>
      <c r="E66" s="89"/>
      <c r="F66" s="96"/>
      <c r="G66" s="89"/>
    </row>
    <row r="67" spans="1:3" ht="12.75">
      <c r="A67" s="70"/>
      <c r="B67" s="6"/>
      <c r="C67" s="79"/>
    </row>
    <row r="68" spans="1:7" ht="12.75">
      <c r="A68" s="70"/>
      <c r="C68" s="70"/>
      <c r="D68" s="52"/>
      <c r="E68" s="52"/>
      <c r="G68" s="52"/>
    </row>
    <row r="69" spans="1:3" ht="12.75">
      <c r="A69" s="70"/>
      <c r="B69" s="6"/>
      <c r="C69" s="70"/>
    </row>
    <row r="70" spans="1:7" ht="12.75">
      <c r="A70" s="70"/>
      <c r="C70" s="79"/>
      <c r="D70" s="52"/>
      <c r="E70" s="52"/>
      <c r="G70" s="52"/>
    </row>
    <row r="71" spans="1:7" ht="12.75">
      <c r="A71" s="70"/>
      <c r="C71" s="70"/>
      <c r="D71" s="52"/>
      <c r="E71" s="52"/>
      <c r="G71" s="52"/>
    </row>
    <row r="72" spans="3:7" ht="12.75">
      <c r="C72" s="79"/>
      <c r="D72" s="52"/>
      <c r="E72" s="52"/>
      <c r="G72" s="52"/>
    </row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>
      <c r="A95" s="70"/>
    </row>
    <row r="96" ht="12.75">
      <c r="A96" s="70"/>
    </row>
    <row r="97" ht="12.75">
      <c r="A97" s="70"/>
    </row>
    <row r="98" spans="1:2" ht="12.75">
      <c r="A98" s="78"/>
      <c r="B98" s="6"/>
    </row>
    <row r="99" spans="1:2" ht="12.75">
      <c r="A99" s="79"/>
      <c r="B99" s="6"/>
    </row>
    <row r="100" spans="1:2" ht="12.75">
      <c r="A100" s="70"/>
      <c r="B100" s="6"/>
    </row>
    <row r="101" spans="1:2" ht="12.75">
      <c r="A101" s="78"/>
      <c r="B101" s="6"/>
    </row>
    <row r="102" spans="1:2" ht="12.75">
      <c r="A102" s="70"/>
      <c r="B102" s="6"/>
    </row>
    <row r="103" spans="1:2" ht="12.75">
      <c r="A103" s="70"/>
      <c r="B103" s="6"/>
    </row>
    <row r="104" spans="1:2" ht="12.75">
      <c r="A104" s="70"/>
      <c r="B104" s="6"/>
    </row>
    <row r="105" spans="1:2" ht="12.75">
      <c r="A105" s="70"/>
      <c r="B105" s="6"/>
    </row>
    <row r="106" spans="1:2" ht="12.75">
      <c r="A106" s="70"/>
      <c r="B106" s="6"/>
    </row>
    <row r="107" spans="1:2" ht="12.75">
      <c r="A107" s="79"/>
      <c r="B107" s="30"/>
    </row>
    <row r="108" spans="1:2" ht="12.75">
      <c r="A108" s="70"/>
      <c r="B108" s="6"/>
    </row>
    <row r="109" spans="1:2" ht="12.75">
      <c r="A109" s="70"/>
      <c r="B109" s="6"/>
    </row>
    <row r="110" spans="1:2" ht="12.75">
      <c r="A110" s="70"/>
      <c r="B110" s="6"/>
    </row>
    <row r="111" spans="1:2" ht="12.75">
      <c r="A111" s="78"/>
      <c r="B111" s="6"/>
    </row>
    <row r="112" spans="1:2" ht="12.75">
      <c r="A112" s="78"/>
      <c r="B112" s="6"/>
    </row>
    <row r="113" spans="1:2" ht="12.75">
      <c r="A113" s="70"/>
      <c r="B113" s="6"/>
    </row>
    <row r="114" spans="1:2" ht="12.75">
      <c r="A114" s="70"/>
      <c r="B114" s="6"/>
    </row>
    <row r="115" spans="1:2" ht="12.75">
      <c r="A115" s="79"/>
      <c r="B115" s="6"/>
    </row>
    <row r="116" spans="1:2" ht="12.75">
      <c r="A116" s="70"/>
      <c r="B116" s="6"/>
    </row>
    <row r="117" spans="1:2" ht="12.75">
      <c r="A117" s="70"/>
      <c r="B117" s="6"/>
    </row>
    <row r="118" spans="1:2" ht="12.75">
      <c r="A118" s="79"/>
      <c r="B118" s="6"/>
    </row>
    <row r="119" spans="1:2" ht="12.75">
      <c r="A119" s="79"/>
      <c r="B119" s="6"/>
    </row>
    <row r="120" spans="1:2" ht="12.75">
      <c r="A120" s="70"/>
      <c r="B120" s="6"/>
    </row>
    <row r="121" spans="1:2" ht="12.75">
      <c r="A121" s="70"/>
      <c r="B121" s="6"/>
    </row>
    <row r="122" spans="1:2" ht="12.75">
      <c r="A122" s="79"/>
      <c r="B122" s="6"/>
    </row>
    <row r="123" spans="1:2" ht="12.75">
      <c r="A123" s="79"/>
      <c r="B123" s="6"/>
    </row>
    <row r="124" spans="1:2" ht="12.75">
      <c r="A124" s="79"/>
      <c r="B124" s="6"/>
    </row>
    <row r="125" spans="1:2" ht="12.75">
      <c r="A125" s="79"/>
      <c r="B125" s="6"/>
    </row>
    <row r="126" spans="1:2" ht="12.75">
      <c r="A126" s="70"/>
      <c r="B126" s="6"/>
    </row>
    <row r="127" spans="1:2" ht="12.75">
      <c r="A127" s="70"/>
      <c r="B127" s="6"/>
    </row>
    <row r="128" spans="1:2" ht="12.75">
      <c r="A128" s="70"/>
      <c r="B128" s="6"/>
    </row>
    <row r="129" spans="1:2" ht="12.75">
      <c r="A129" s="70"/>
      <c r="B129" s="6"/>
    </row>
    <row r="130" spans="1:2" ht="12.75">
      <c r="A130" s="70"/>
      <c r="B130" s="6"/>
    </row>
    <row r="131" spans="1:2" ht="12.75">
      <c r="A131" s="79"/>
      <c r="B131" s="6"/>
    </row>
    <row r="132" spans="1:2" ht="12.75">
      <c r="A132" s="79"/>
      <c r="B132" s="6"/>
    </row>
    <row r="133" spans="1:2" ht="12.75">
      <c r="A133" s="70"/>
      <c r="B133" s="6"/>
    </row>
    <row r="134" spans="1:2" ht="12.75">
      <c r="A134" s="70"/>
      <c r="B134" s="6"/>
    </row>
    <row r="135" spans="1:2" ht="12.75">
      <c r="A135" s="70"/>
      <c r="B135" s="6"/>
    </row>
    <row r="136" spans="1:2" ht="12.75">
      <c r="A136" s="70"/>
      <c r="B136" s="6"/>
    </row>
    <row r="137" spans="1:2" ht="12.75">
      <c r="A137" s="70"/>
      <c r="B137" s="6"/>
    </row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spans="4:7" ht="12.75">
      <c r="D152" s="86"/>
      <c r="E152" s="86"/>
      <c r="F152" s="96"/>
      <c r="G152" s="86"/>
    </row>
    <row r="153" spans="3:7" ht="12.75">
      <c r="C153" s="5"/>
      <c r="D153" s="87"/>
      <c r="E153" s="87"/>
      <c r="F153" s="97"/>
      <c r="G153" s="87"/>
    </row>
    <row r="154" spans="3:7" ht="12.75">
      <c r="C154" s="5"/>
      <c r="D154" s="88"/>
      <c r="E154" s="88"/>
      <c r="F154" s="96"/>
      <c r="G154" s="88"/>
    </row>
    <row r="155" spans="3:7" ht="12.75">
      <c r="C155" s="5"/>
      <c r="D155" s="88"/>
      <c r="E155" s="88"/>
      <c r="F155" s="96"/>
      <c r="G155" s="88"/>
    </row>
    <row r="156" spans="1:7" ht="12.75">
      <c r="A156" s="70"/>
      <c r="D156" s="86"/>
      <c r="E156" s="86"/>
      <c r="F156" s="96"/>
      <c r="G156" s="86"/>
    </row>
    <row r="157" spans="1:7" ht="12.75">
      <c r="A157" s="70"/>
      <c r="C157" s="79"/>
      <c r="D157" s="52"/>
      <c r="E157" s="52"/>
      <c r="G157" s="52"/>
    </row>
    <row r="158" spans="1:7" ht="12.75">
      <c r="A158" s="70"/>
      <c r="C158" s="70"/>
      <c r="D158" s="52"/>
      <c r="E158" s="52"/>
      <c r="G158" s="52"/>
    </row>
    <row r="159" spans="1:7" ht="12.75">
      <c r="A159" s="78"/>
      <c r="B159" s="6"/>
      <c r="C159" s="70"/>
      <c r="D159" s="52"/>
      <c r="E159" s="52"/>
      <c r="G159" s="52"/>
    </row>
    <row r="160" spans="1:7" ht="12.75">
      <c r="A160" s="79"/>
      <c r="B160" s="6"/>
      <c r="C160" s="79"/>
      <c r="D160" s="52"/>
      <c r="E160" s="52"/>
      <c r="G160" s="52"/>
    </row>
    <row r="161" spans="1:7" ht="12.75">
      <c r="A161" s="70"/>
      <c r="B161" s="6"/>
      <c r="C161" s="79"/>
      <c r="D161" s="52"/>
      <c r="E161" s="52"/>
      <c r="G161" s="52"/>
    </row>
    <row r="162" spans="1:7" ht="12.75">
      <c r="A162" s="78"/>
      <c r="B162" s="6"/>
      <c r="C162" s="70"/>
      <c r="D162" s="52"/>
      <c r="E162" s="52"/>
      <c r="G162" s="52"/>
    </row>
    <row r="163" spans="1:7" ht="12.75">
      <c r="A163" s="70"/>
      <c r="B163" s="6"/>
      <c r="C163" s="70"/>
      <c r="D163" s="52"/>
      <c r="E163" s="52"/>
      <c r="G163" s="52"/>
    </row>
    <row r="164" spans="1:7" ht="12.75">
      <c r="A164" s="70"/>
      <c r="B164" s="6"/>
      <c r="C164" s="70"/>
      <c r="D164" s="52"/>
      <c r="E164" s="52"/>
      <c r="G164" s="52"/>
    </row>
    <row r="165" spans="1:7" ht="12.75">
      <c r="A165" s="70"/>
      <c r="B165" s="6"/>
      <c r="C165" s="70"/>
      <c r="D165" s="52"/>
      <c r="E165" s="52"/>
      <c r="G165" s="52"/>
    </row>
    <row r="166" spans="1:7" ht="12.75">
      <c r="A166" s="70"/>
      <c r="B166" s="6"/>
      <c r="C166" s="70"/>
      <c r="D166" s="52"/>
      <c r="E166" s="52"/>
      <c r="G166" s="52"/>
    </row>
    <row r="167" spans="1:7" ht="12.75">
      <c r="A167" s="70"/>
      <c r="B167" s="6"/>
      <c r="C167" s="70"/>
      <c r="D167" s="52"/>
      <c r="E167" s="52"/>
      <c r="G167" s="52"/>
    </row>
    <row r="168" spans="1:7" ht="12.75">
      <c r="A168" s="79"/>
      <c r="B168" s="30"/>
      <c r="C168" s="70"/>
      <c r="D168" s="52"/>
      <c r="E168" s="52"/>
      <c r="G168" s="52"/>
    </row>
    <row r="169" spans="1:7" ht="12.75">
      <c r="A169" s="70"/>
      <c r="B169" s="6"/>
      <c r="C169" s="70"/>
      <c r="D169" s="52"/>
      <c r="E169" s="52"/>
      <c r="G169" s="52"/>
    </row>
    <row r="170" spans="1:7" ht="12.75">
      <c r="A170" s="70"/>
      <c r="B170" s="6"/>
      <c r="C170" s="70"/>
      <c r="D170" s="52"/>
      <c r="E170" s="52"/>
      <c r="G170" s="52"/>
    </row>
    <row r="171" spans="1:7" ht="12.75">
      <c r="A171" s="70"/>
      <c r="B171" s="6"/>
      <c r="C171" s="70"/>
      <c r="D171" s="52"/>
      <c r="E171" s="52"/>
      <c r="G171" s="52"/>
    </row>
    <row r="172" spans="1:7" ht="12.75">
      <c r="A172" s="78"/>
      <c r="B172" s="6"/>
      <c r="C172" s="70"/>
      <c r="D172" s="52"/>
      <c r="E172" s="52"/>
      <c r="G172" s="52"/>
    </row>
    <row r="173" spans="1:7" ht="12.75">
      <c r="A173" s="78"/>
      <c r="B173" s="6"/>
      <c r="C173" s="70"/>
      <c r="D173" s="52"/>
      <c r="E173" s="52"/>
      <c r="G173" s="52"/>
    </row>
    <row r="174" spans="1:7" ht="12.75">
      <c r="A174" s="70"/>
      <c r="B174" s="6"/>
      <c r="C174" s="78"/>
      <c r="D174" s="52"/>
      <c r="E174" s="52"/>
      <c r="G174" s="52"/>
    </row>
    <row r="175" spans="1:7" ht="12.75">
      <c r="A175" s="70"/>
      <c r="B175" s="6"/>
      <c r="C175" s="79"/>
      <c r="D175" s="52"/>
      <c r="E175" s="52"/>
      <c r="G175" s="52"/>
    </row>
    <row r="176" spans="1:7" ht="12.75">
      <c r="A176" s="79"/>
      <c r="B176" s="6"/>
      <c r="C176" s="70"/>
      <c r="D176" s="52"/>
      <c r="E176" s="52"/>
      <c r="G176" s="52"/>
    </row>
    <row r="177" spans="1:7" ht="12.75">
      <c r="A177" s="70"/>
      <c r="B177" s="6"/>
      <c r="C177" s="70"/>
      <c r="D177" s="52"/>
      <c r="E177" s="52"/>
      <c r="G177" s="52"/>
    </row>
    <row r="178" spans="1:7" ht="12.75">
      <c r="A178" s="70"/>
      <c r="B178" s="6"/>
      <c r="C178" s="70"/>
      <c r="D178" s="52"/>
      <c r="E178" s="52"/>
      <c r="G178" s="52"/>
    </row>
    <row r="179" spans="1:7" ht="12.75">
      <c r="A179" s="79"/>
      <c r="B179" s="6"/>
      <c r="C179" s="70"/>
      <c r="D179" s="52"/>
      <c r="E179" s="52"/>
      <c r="G179" s="52"/>
    </row>
    <row r="180" spans="1:7" ht="12.75">
      <c r="A180" s="79"/>
      <c r="B180" s="6"/>
      <c r="C180" s="70"/>
      <c r="D180" s="52"/>
      <c r="E180" s="52"/>
      <c r="G180" s="52"/>
    </row>
    <row r="181" spans="1:7" ht="12.75">
      <c r="A181" s="70"/>
      <c r="B181" s="6"/>
      <c r="C181" s="70"/>
      <c r="D181" s="52"/>
      <c r="E181" s="52"/>
      <c r="G181" s="52"/>
    </row>
    <row r="182" spans="1:7" ht="12.75">
      <c r="A182" s="70"/>
      <c r="B182" s="6"/>
      <c r="C182" s="78"/>
      <c r="D182" s="52"/>
      <c r="E182" s="52"/>
      <c r="G182" s="52"/>
    </row>
    <row r="183" spans="1:7" ht="12.75">
      <c r="A183" s="79"/>
      <c r="B183" s="6"/>
      <c r="C183" s="79"/>
      <c r="D183" s="52"/>
      <c r="E183" s="52"/>
      <c r="G183" s="52"/>
    </row>
    <row r="184" spans="1:7" ht="12.75">
      <c r="A184" s="79"/>
      <c r="B184" s="6"/>
      <c r="C184" s="70"/>
      <c r="D184" s="52"/>
      <c r="E184" s="52"/>
      <c r="G184" s="52"/>
    </row>
    <row r="185" spans="1:7" ht="12.75">
      <c r="A185" s="79"/>
      <c r="B185" s="6"/>
      <c r="C185" s="78"/>
      <c r="D185" s="52"/>
      <c r="E185" s="52"/>
      <c r="G185" s="52"/>
    </row>
    <row r="186" spans="1:7" ht="12.75">
      <c r="A186" s="79"/>
      <c r="B186" s="6"/>
      <c r="C186" s="70"/>
      <c r="D186" s="52"/>
      <c r="E186" s="52"/>
      <c r="G186" s="52"/>
    </row>
    <row r="187" spans="1:3" ht="12.75">
      <c r="A187" s="70"/>
      <c r="B187" s="6"/>
      <c r="C187" s="78"/>
    </row>
    <row r="188" spans="1:7" ht="12.75">
      <c r="A188" s="70"/>
      <c r="B188" s="6"/>
      <c r="C188" s="79"/>
      <c r="D188" s="52"/>
      <c r="E188" s="52"/>
      <c r="G188" s="52"/>
    </row>
    <row r="189" spans="1:7" ht="12.75">
      <c r="A189" s="70"/>
      <c r="B189" s="6"/>
      <c r="C189" s="70"/>
      <c r="D189" s="52"/>
      <c r="E189" s="52"/>
      <c r="G189" s="52"/>
    </row>
    <row r="190" spans="1:7" ht="12.75">
      <c r="A190" s="70"/>
      <c r="B190" s="6"/>
      <c r="C190" s="70"/>
      <c r="D190" s="52"/>
      <c r="E190" s="52"/>
      <c r="G190" s="52"/>
    </row>
    <row r="191" spans="1:3" ht="12.75">
      <c r="A191" s="70"/>
      <c r="B191" s="6"/>
      <c r="C191" s="79"/>
    </row>
    <row r="192" spans="1:3" ht="12.75">
      <c r="A192" s="79"/>
      <c r="B192" s="6"/>
      <c r="C192" s="70"/>
    </row>
    <row r="193" spans="1:7" ht="12.75">
      <c r="A193" s="79"/>
      <c r="B193" s="6"/>
      <c r="C193" s="79"/>
      <c r="D193" s="52"/>
      <c r="E193" s="52"/>
      <c r="G193" s="52"/>
    </row>
    <row r="194" spans="1:7" ht="12.75">
      <c r="A194" s="70"/>
      <c r="B194" s="6"/>
      <c r="C194" s="79"/>
      <c r="D194" s="52"/>
      <c r="E194" s="52"/>
      <c r="G194" s="52"/>
    </row>
    <row r="195" spans="1:7" ht="12.75">
      <c r="A195" s="70"/>
      <c r="B195" s="6"/>
      <c r="C195" s="70"/>
      <c r="D195" s="52"/>
      <c r="E195" s="52"/>
      <c r="G195" s="52"/>
    </row>
    <row r="196" spans="1:7" ht="12.75">
      <c r="A196" s="70"/>
      <c r="B196" s="6"/>
      <c r="C196" s="79"/>
      <c r="D196" s="52"/>
      <c r="E196" s="52"/>
      <c r="G196" s="52"/>
    </row>
    <row r="197" spans="1:7" ht="12.75">
      <c r="A197" s="70"/>
      <c r="C197" s="79"/>
      <c r="D197" s="52"/>
      <c r="E197" s="52"/>
      <c r="G197" s="52"/>
    </row>
    <row r="198" spans="1:3" ht="12.75">
      <c r="A198" s="70"/>
      <c r="C198" s="70"/>
    </row>
    <row r="199" spans="3:7" ht="12.75">
      <c r="C199" s="70"/>
      <c r="D199" s="52"/>
      <c r="E199" s="52"/>
      <c r="G199" s="52"/>
    </row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</sheetData>
  <sheetProtection/>
  <printOptions/>
  <pageMargins left="0.15748031496062992" right="0.2362204724409449" top="0.31496062992125984" bottom="0.6692913385826772" header="0.2362204724409449" footer="0.5118110236220472"/>
  <pageSetup fitToHeight="1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G151"/>
  <sheetViews>
    <sheetView zoomScalePageLayoutView="0" workbookViewId="0" topLeftCell="A88">
      <selection activeCell="F13" sqref="F13"/>
    </sheetView>
  </sheetViews>
  <sheetFormatPr defaultColWidth="9.140625" defaultRowHeight="12.75"/>
  <cols>
    <col min="1" max="1" width="39.28125" style="0" customWidth="1"/>
    <col min="2" max="3" width="10.421875" style="0" customWidth="1"/>
    <col min="4" max="4" width="10.8515625" style="0" customWidth="1"/>
    <col min="6" max="7" width="10.57421875" style="0" customWidth="1"/>
    <col min="9" max="9" width="11.57421875" style="0" customWidth="1"/>
    <col min="20" max="20" width="25.28125" style="0" customWidth="1"/>
    <col min="24" max="25" width="10.140625" style="0" customWidth="1"/>
    <col min="26" max="26" width="10.00390625" style="0" customWidth="1"/>
    <col min="28" max="28" width="9.421875" style="0" customWidth="1"/>
    <col min="30" max="30" width="13.421875" style="0" customWidth="1"/>
    <col min="31" max="31" width="10.57421875" style="0" customWidth="1"/>
    <col min="33" max="34" width="10.57421875" style="0" customWidth="1"/>
    <col min="35" max="35" width="10.00390625" style="0" customWidth="1"/>
    <col min="36" max="36" width="12.8515625" style="0" customWidth="1"/>
    <col min="57" max="57" width="17.57421875" style="0" customWidth="1"/>
    <col min="58" max="58" width="16.28125" style="0" customWidth="1"/>
  </cols>
  <sheetData>
    <row r="1" s="14" customFormat="1" ht="12.75"/>
    <row r="2" spans="1:82" ht="12.75">
      <c r="A2" s="6"/>
      <c r="B2" s="6"/>
      <c r="C2" s="30"/>
      <c r="D2" s="16"/>
      <c r="E2" s="25"/>
      <c r="F2" s="26"/>
      <c r="G2" s="26"/>
      <c r="H2" s="26"/>
      <c r="I2" s="25"/>
      <c r="J2" s="21"/>
      <c r="K2" s="26"/>
      <c r="L2" s="31"/>
      <c r="M2" s="27"/>
      <c r="N2" s="27"/>
      <c r="O2" s="27"/>
      <c r="P2" s="27"/>
      <c r="Q2" s="27"/>
      <c r="R2" s="27"/>
      <c r="S2" s="27"/>
      <c r="T2" s="27"/>
      <c r="U2" s="27"/>
      <c r="V2" s="21"/>
      <c r="W2" s="28"/>
      <c r="X2" s="21"/>
      <c r="Y2" s="32"/>
      <c r="Z2" s="31"/>
      <c r="AA2" s="26"/>
      <c r="AB2" s="31"/>
      <c r="AC2" s="31"/>
      <c r="AD2" s="31"/>
      <c r="AE2" s="26"/>
      <c r="AF2" s="26"/>
      <c r="AG2" s="26"/>
      <c r="AH2" s="26"/>
      <c r="AI2" s="16"/>
      <c r="BX2" s="23"/>
      <c r="BY2" s="17"/>
      <c r="CA2" s="13"/>
      <c r="CD2" s="13"/>
    </row>
    <row r="3" spans="4:85" ht="12.75">
      <c r="D3" s="16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23"/>
      <c r="BZ3" s="23"/>
      <c r="CA3" s="33"/>
      <c r="CB3" s="18"/>
      <c r="CC3" s="23"/>
      <c r="CD3" s="34"/>
      <c r="CE3" s="18"/>
      <c r="CF3" s="18"/>
      <c r="CG3" s="18"/>
    </row>
    <row r="4" spans="3:85" ht="12.75">
      <c r="C4" s="10" t="s">
        <v>16</v>
      </c>
      <c r="D4" s="10" t="s">
        <v>16</v>
      </c>
      <c r="E4" s="10" t="s">
        <v>16</v>
      </c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</row>
    <row r="5" spans="1:85" ht="12.75">
      <c r="A5" s="5" t="s">
        <v>7</v>
      </c>
      <c r="B5" s="5"/>
      <c r="C5" s="22" t="s">
        <v>69</v>
      </c>
      <c r="D5" s="22" t="s">
        <v>61</v>
      </c>
      <c r="E5" s="10" t="s">
        <v>27</v>
      </c>
      <c r="Q5" s="2"/>
      <c r="R5" s="2"/>
      <c r="S5" s="2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</row>
    <row r="6" spans="1:19" ht="12.75">
      <c r="A6" s="35" t="s">
        <v>10</v>
      </c>
      <c r="B6" s="35"/>
      <c r="C6" s="36"/>
      <c r="D6" s="36">
        <v>19.935602546363917</v>
      </c>
      <c r="E6" s="36">
        <v>19.152711808341294</v>
      </c>
      <c r="Q6" s="11"/>
      <c r="R6" s="11"/>
      <c r="S6" s="11"/>
    </row>
    <row r="7" spans="1:19" ht="12.75">
      <c r="A7" s="35" t="s">
        <v>62</v>
      </c>
      <c r="B7" s="35"/>
      <c r="C7" s="37"/>
      <c r="D7" s="37">
        <v>14.9</v>
      </c>
      <c r="E7" s="37">
        <v>13.4</v>
      </c>
      <c r="Q7" s="12"/>
      <c r="R7" s="12"/>
      <c r="S7" s="12"/>
    </row>
    <row r="8" spans="1:19" ht="12.75">
      <c r="A8" s="35" t="s">
        <v>63</v>
      </c>
      <c r="B8" s="35"/>
      <c r="C8" s="37"/>
      <c r="D8" s="37">
        <v>40.73561904314018</v>
      </c>
      <c r="E8" s="37">
        <v>44.8</v>
      </c>
      <c r="Q8" s="12"/>
      <c r="R8" s="12"/>
      <c r="S8" s="12"/>
    </row>
    <row r="9" spans="1:19" ht="12.75">
      <c r="A9" s="6" t="str">
        <f>CONCATENATE('Jul-Mar'!C10," (",'Jul-Mar'!G10,")")</f>
        <v>Cook (312)</v>
      </c>
      <c r="B9" s="6" t="str">
        <f>'Jul-Mar'!C10</f>
        <v>Cook</v>
      </c>
      <c r="C9" s="12">
        <f>VLOOKUP($B9,'Jul-Mar'!$C$5:$S$20,14,FALSE)</f>
        <v>152.04601044489985</v>
      </c>
      <c r="D9" s="12" t="e">
        <f>VLOOKUP($B9,#REF!,14,FALSE)</f>
        <v>#REF!</v>
      </c>
      <c r="E9" s="12" t="e">
        <f>VLOOKUP($B9,#REF!,10,FALSE)</f>
        <v>#REF!</v>
      </c>
      <c r="F9" s="4"/>
      <c r="Q9" s="15"/>
      <c r="R9" s="15"/>
      <c r="S9" s="15"/>
    </row>
    <row r="10" spans="1:19" ht="12.75">
      <c r="A10" s="6" t="str">
        <f>CONCATENATE('Jul-Mar'!C19," (",'Jul-Mar'!G19,")")</f>
        <v>Oaky North Underground (470)</v>
      </c>
      <c r="B10" s="6" t="str">
        <f>'Jul-Mar'!C19</f>
        <v>Oaky North Underground</v>
      </c>
      <c r="C10" s="12">
        <f>VLOOKUP($B10,'Jul-Mar'!$C$5:$S$20,14,FALSE)</f>
        <v>18.69508319312021</v>
      </c>
      <c r="D10" s="12" t="e">
        <f>VLOOKUP($B10,#REF!,14,FALSE)</f>
        <v>#REF!</v>
      </c>
      <c r="E10" s="12" t="e">
        <f>VLOOKUP($B10,#REF!,10,FALSE)</f>
        <v>#REF!</v>
      </c>
      <c r="F10" s="4"/>
      <c r="Q10" s="15"/>
      <c r="R10" s="15"/>
      <c r="S10" s="15"/>
    </row>
    <row r="11" spans="1:19" ht="12.75">
      <c r="A11" s="6" t="str">
        <f>CONCATENATE('Jul-Mar'!C15," (",'Jul-Mar'!G15,")")</f>
        <v>Moranbah North (913)</v>
      </c>
      <c r="B11" s="6" t="str">
        <f>'Jul-Mar'!C15</f>
        <v>Moranbah North</v>
      </c>
      <c r="C11" s="12">
        <f>VLOOKUP($B11,'Jul-Mar'!$C$5:$S$20,14,FALSE)</f>
        <v>128.41236333410555</v>
      </c>
      <c r="D11" s="12" t="e">
        <f>VLOOKUP($B11,#REF!,14,FALSE)</f>
        <v>#REF!</v>
      </c>
      <c r="E11" s="12" t="e">
        <f>VLOOKUP($B11,#REF!,10,FALSE)</f>
        <v>#REF!</v>
      </c>
      <c r="F11" s="4"/>
      <c r="Q11" s="15"/>
      <c r="R11" s="15"/>
      <c r="S11" s="15"/>
    </row>
    <row r="12" spans="1:19" ht="12.75">
      <c r="A12" s="6" t="str">
        <f>CONCATENATE('Jul-Mar'!C8," (",'Jul-Mar'!G8,")")</f>
        <v>Bundoora (2)</v>
      </c>
      <c r="B12" s="6" t="str">
        <f>'Jul-Mar'!C8</f>
        <v>Bundoora</v>
      </c>
      <c r="C12" s="12">
        <f>VLOOKUP($B12,'Jul-Mar'!$C$5:$S$20,14,FALSE)</f>
        <v>0</v>
      </c>
      <c r="D12" s="12" t="e">
        <f>VLOOKUP($B12,#REF!,14,FALSE)</f>
        <v>#REF!</v>
      </c>
      <c r="E12" s="12" t="e">
        <f>VLOOKUP($B12,#REF!,10,FALSE)</f>
        <v>#REF!</v>
      </c>
      <c r="F12" s="4"/>
      <c r="Q12" s="15"/>
      <c r="R12" s="15"/>
      <c r="S12" s="15"/>
    </row>
    <row r="13" spans="1:19" ht="12.75">
      <c r="A13" s="6" t="str">
        <f>CONCATENATE('Jul-Mar'!C17," (",'Jul-Mar'!G17,")")</f>
        <v>North Goonyella No. 1 (768)</v>
      </c>
      <c r="B13" s="6" t="str">
        <f>'Jul-Mar'!C17</f>
        <v>North Goonyella No. 1</v>
      </c>
      <c r="C13" s="12">
        <f>VLOOKUP($B13,'Jul-Mar'!$C$5:$S$20,14,FALSE)</f>
        <v>32.62008116359454</v>
      </c>
      <c r="D13" s="12" t="e">
        <f>VLOOKUP($B13,#REF!,14,FALSE)</f>
        <v>#REF!</v>
      </c>
      <c r="E13" s="12" t="e">
        <f>VLOOKUP($B13,#REF!,10,FALSE)</f>
        <v>#REF!</v>
      </c>
      <c r="F13" s="4"/>
      <c r="Q13" s="15"/>
      <c r="R13" s="15"/>
      <c r="S13" s="15"/>
    </row>
    <row r="14" spans="1:19" ht="12.75">
      <c r="A14" s="6" t="str">
        <f>CONCATENATE('Jul-Mar'!C11," (",'Jul-Mar'!G11,")")</f>
        <v>Crinum (264)</v>
      </c>
      <c r="B14" s="6" t="str">
        <f>'Jul-Mar'!C11</f>
        <v>Crinum</v>
      </c>
      <c r="C14" s="12">
        <f>VLOOKUP($B14,'Jul-Mar'!$C$5:$S$20,14,FALSE)</f>
        <v>27.180006387301503</v>
      </c>
      <c r="D14" s="12" t="e">
        <f>VLOOKUP($B14,#REF!,14,FALSE)</f>
        <v>#REF!</v>
      </c>
      <c r="E14" s="12" t="e">
        <f>VLOOKUP($B14,#REF!,10,FALSE)</f>
        <v>#REF!</v>
      </c>
      <c r="F14" s="4"/>
      <c r="Q14" s="15"/>
      <c r="R14" s="15"/>
      <c r="S14" s="15"/>
    </row>
    <row r="15" spans="1:19" ht="12.75">
      <c r="A15" s="6" t="str">
        <f>CONCATENATE('Jul-Mar'!C6," (",'Jul-Mar'!G6,")")</f>
        <v>Aquila (82)</v>
      </c>
      <c r="B15" s="6" t="str">
        <f>'Jul-Mar'!C6</f>
        <v>Aquila</v>
      </c>
      <c r="C15" s="12">
        <f>VLOOKUP($B15,'Jul-Mar'!$C$5:$S$20,14,FALSE)</f>
        <v>11.484088794974562</v>
      </c>
      <c r="D15" s="12" t="e">
        <f>VLOOKUP($B15,#REF!,14,FALSE)</f>
        <v>#REF!</v>
      </c>
      <c r="E15" s="12" t="e">
        <f>VLOOKUP($B15,#REF!,10,FALSE)</f>
        <v>#REF!</v>
      </c>
      <c r="F15" s="4"/>
      <c r="Q15" s="15"/>
      <c r="R15" s="15"/>
      <c r="S15" s="15"/>
    </row>
    <row r="16" spans="1:19" ht="12.75">
      <c r="A16" s="6" t="str">
        <f>CONCATENATE('Jul-Mar'!C16," (",'Jul-Mar'!G16,")")</f>
        <v>Newlands Northern Underground (513)</v>
      </c>
      <c r="B16" s="6" t="str">
        <f>'Jul-Mar'!C16</f>
        <v>Newlands Northern Underground</v>
      </c>
      <c r="C16" s="12">
        <f>VLOOKUP($B16,'Jul-Mar'!$C$5:$S$20,14,FALSE)</f>
        <v>21.678117530082</v>
      </c>
      <c r="D16" s="12" t="e">
        <f>VLOOKUP($B16,#REF!,14,FALSE)</f>
        <v>#REF!</v>
      </c>
      <c r="E16" s="12" t="e">
        <f>VLOOKUP($B16,#REF!,10,FALSE)</f>
        <v>#REF!</v>
      </c>
      <c r="F16" s="4"/>
      <c r="Q16" s="15"/>
      <c r="R16" s="15"/>
      <c r="S16" s="15"/>
    </row>
    <row r="17" spans="1:19" ht="12.75">
      <c r="A17" s="6" t="str">
        <f>CONCATENATE('Jul-Mar'!C7," (",'Jul-Mar'!G7,")")</f>
        <v>Broadmeadow - G.E.Adit (619)</v>
      </c>
      <c r="B17" s="6" t="str">
        <f>'Jul-Mar'!C7</f>
        <v>Broadmeadow - G.E.Adit</v>
      </c>
      <c r="C17" s="12">
        <f>VLOOKUP($B17,'Jul-Mar'!$C$5:$S$20,14,FALSE)</f>
        <v>15.553776108219957</v>
      </c>
      <c r="D17" s="12" t="e">
        <f>VLOOKUP($B17,#REF!,14,FALSE)</f>
        <v>#REF!</v>
      </c>
      <c r="E17" s="12" t="e">
        <f>VLOOKUP($B17,#REF!,10,FALSE)</f>
        <v>#REF!</v>
      </c>
      <c r="F17" s="4"/>
      <c r="Q17" s="15"/>
      <c r="R17" s="15"/>
      <c r="S17" s="15"/>
    </row>
    <row r="18" spans="1:19" ht="12.75">
      <c r="A18" s="6" t="str">
        <f>CONCATENATE('Jul-Mar'!C9," (",'Jul-Mar'!G9,")")</f>
        <v>Carborough Downs (Includes Prep Plant) (528)</v>
      </c>
      <c r="B18" s="6" t="str">
        <f>'Jul-Mar'!C9</f>
        <v>Carborough Downs (Includes Prep Plant)</v>
      </c>
      <c r="C18" s="12">
        <f>VLOOKUP($B18,'Jul-Mar'!$C$5:$S$20,14,FALSE)</f>
        <v>39.23771814833641</v>
      </c>
      <c r="D18" s="12" t="e">
        <f>VLOOKUP($B18,#REF!,14,FALSE)</f>
        <v>#REF!</v>
      </c>
      <c r="E18" s="12" t="e">
        <f>VLOOKUP($B18,#REF!,10,FALSE)</f>
        <v>#REF!</v>
      </c>
      <c r="F18" s="4"/>
      <c r="Q18" s="15"/>
      <c r="R18" s="15"/>
      <c r="S18" s="15"/>
    </row>
    <row r="19" spans="1:19" ht="12.75">
      <c r="A19" s="6" t="str">
        <f>CONCATENATE('Jul-Mar'!C12," (",'Jul-Mar'!G12,")")</f>
        <v>Grasstree (757)</v>
      </c>
      <c r="B19" s="6" t="str">
        <f>'Jul-Mar'!C12</f>
        <v>Grasstree</v>
      </c>
      <c r="C19" s="12">
        <f>VLOOKUP($B19,'Jul-Mar'!$C$5:$S$20,14,FALSE)</f>
        <v>36.80754370608256</v>
      </c>
      <c r="D19" s="12" t="e">
        <f>VLOOKUP($B19,#REF!,14,FALSE)</f>
        <v>#REF!</v>
      </c>
      <c r="E19" s="12" t="e">
        <f>VLOOKUP($B19,#REF!,10,FALSE)</f>
        <v>#REF!</v>
      </c>
      <c r="F19" s="4"/>
      <c r="Q19" s="15"/>
      <c r="R19" s="15"/>
      <c r="S19" s="15"/>
    </row>
    <row r="20" spans="1:19" ht="12.75">
      <c r="A20" s="6" t="str">
        <f>CONCATENATE('Jul-Mar'!C14," (",'Jul-Mar'!G14,")")</f>
        <v>Kestrel Mine Extension Project (842)</v>
      </c>
      <c r="B20" s="6" t="str">
        <f>'Jul-Mar'!C14</f>
        <v>Kestrel Mine Extension Project</v>
      </c>
      <c r="C20" s="12">
        <f>VLOOKUP($B20,'Jul-Mar'!$C$5:$S$20,14,FALSE)</f>
        <v>9.038906034115415</v>
      </c>
      <c r="D20" s="12" t="e">
        <f>VLOOKUP($B20,#REF!,14,FALSE)</f>
        <v>#REF!</v>
      </c>
      <c r="E20" s="12" t="e">
        <f>VLOOKUP($B20,#REF!,10,FALSE)</f>
        <v>#REF!</v>
      </c>
      <c r="F20" s="4"/>
      <c r="Q20" s="15"/>
      <c r="R20" s="15"/>
      <c r="S20" s="15"/>
    </row>
    <row r="21" spans="1:19" ht="12.75">
      <c r="A21" s="6" t="str">
        <f>CONCATENATE('Jul-Mar'!C18," (",'Jul-Mar'!G18,")")</f>
        <v>Oaky Creek No. 1 (470)</v>
      </c>
      <c r="B21" s="6" t="str">
        <f>'Jul-Mar'!C18</f>
        <v>Oaky Creek No. 1</v>
      </c>
      <c r="C21" s="12">
        <f>VLOOKUP($B21,'Jul-Mar'!$C$5:$S$20,14,FALSE)</f>
        <v>14.732295770480654</v>
      </c>
      <c r="D21" s="12" t="e">
        <f>VLOOKUP($B21,#REF!,14,FALSE)</f>
        <v>#REF!</v>
      </c>
      <c r="E21" s="12" t="e">
        <f>VLOOKUP($B21,#REF!,10,FALSE)</f>
        <v>#REF!</v>
      </c>
      <c r="Q21" s="15"/>
      <c r="R21" s="15"/>
      <c r="S21" s="15"/>
    </row>
    <row r="22" spans="1:5" ht="12.75">
      <c r="A22" s="6" t="str">
        <f>CONCATENATE('Jul-Mar'!C13," (",'Jul-Mar'!G13,")")</f>
        <v>Kestrel (574)</v>
      </c>
      <c r="B22" s="6" t="str">
        <f>'Jul-Mar'!C13</f>
        <v>Kestrel</v>
      </c>
      <c r="C22" s="12">
        <f>VLOOKUP($B22,'Jul-Mar'!$C$5:$S$20,14,FALSE)</f>
        <v>5.892908179651199</v>
      </c>
      <c r="D22" s="12" t="e">
        <f>VLOOKUP($B22,#REF!,14,FALSE)</f>
        <v>#REF!</v>
      </c>
      <c r="E22" s="12" t="e">
        <f>VLOOKUP($B22,#REF!,10,FALSE)</f>
        <v>#REF!</v>
      </c>
    </row>
    <row r="23" spans="17:19" ht="12.75">
      <c r="Q23" s="15"/>
      <c r="R23" s="15"/>
      <c r="S23" s="15"/>
    </row>
    <row r="24" spans="1:5" ht="12.75">
      <c r="A24" s="15"/>
      <c r="B24" s="15"/>
      <c r="C24" s="15"/>
      <c r="D24" s="15"/>
      <c r="E24" s="15"/>
    </row>
    <row r="57" spans="3:20" ht="39">
      <c r="C57" s="46" t="s">
        <v>21</v>
      </c>
      <c r="D57" s="46" t="s">
        <v>21</v>
      </c>
      <c r="E57" s="46" t="s">
        <v>21</v>
      </c>
      <c r="Q57" s="2"/>
      <c r="R57" s="2"/>
      <c r="S57" s="2"/>
      <c r="T57" s="2"/>
    </row>
    <row r="58" spans="1:20" ht="12.75">
      <c r="A58" s="2"/>
      <c r="B58" s="2"/>
      <c r="C58" s="22" t="s">
        <v>69</v>
      </c>
      <c r="D58" s="22" t="s">
        <v>61</v>
      </c>
      <c r="E58" s="10" t="s">
        <v>27</v>
      </c>
      <c r="Q58" s="2"/>
      <c r="R58" s="2"/>
      <c r="S58" s="2"/>
      <c r="T58" s="2"/>
    </row>
    <row r="59" spans="1:20" ht="12.75">
      <c r="A59" s="35" t="s">
        <v>10</v>
      </c>
      <c r="B59" s="35"/>
      <c r="C59" s="48"/>
      <c r="D59" s="48">
        <v>263.1756355476512</v>
      </c>
      <c r="E59" s="48">
        <v>239.42717309263293</v>
      </c>
      <c r="Q59" s="2"/>
      <c r="R59" s="2"/>
      <c r="S59" s="2"/>
      <c r="T59" s="2"/>
    </row>
    <row r="60" spans="1:20" ht="12.75">
      <c r="A60" s="35" t="s">
        <v>62</v>
      </c>
      <c r="B60" s="35"/>
      <c r="C60" s="48"/>
      <c r="D60" s="48">
        <v>234.37610290024853</v>
      </c>
      <c r="E60" s="48">
        <v>189.53294243844215</v>
      </c>
      <c r="S60" s="2"/>
      <c r="T60" s="2"/>
    </row>
    <row r="61" spans="1:20" ht="12.75">
      <c r="A61" s="35" t="s">
        <v>63</v>
      </c>
      <c r="B61" s="35"/>
      <c r="C61" s="48"/>
      <c r="D61" s="48">
        <v>382.9313782002507</v>
      </c>
      <c r="E61" s="48">
        <v>460.32040124942125</v>
      </c>
      <c r="Q61" s="1"/>
      <c r="R61" s="1"/>
      <c r="T61" s="3"/>
    </row>
    <row r="62" spans="1:20" ht="12.75">
      <c r="A62" s="6" t="str">
        <f>CONCATENATE('Jul-Mar'!C8," (",'Jul-Mar'!G8,")")</f>
        <v>Bundoora (2)</v>
      </c>
      <c r="B62" s="6" t="str">
        <f>'Jul-Mar'!C8</f>
        <v>Bundoora</v>
      </c>
      <c r="C62" s="12">
        <f>VLOOKUP($B62,'Jul-Mar'!$C$5:$S$20,16,FALSE)</f>
        <v>0</v>
      </c>
      <c r="D62" s="12" t="e">
        <f>VLOOKUP($B62,#REF!,16,FALSE)</f>
        <v>#REF!</v>
      </c>
      <c r="E62" s="12" t="e">
        <f>VLOOKUP($B62,#REF!,12,FALSE)</f>
        <v>#REF!</v>
      </c>
      <c r="Q62" s="1"/>
      <c r="R62" s="1"/>
      <c r="T62" s="3"/>
    </row>
    <row r="63" spans="1:20" ht="12.75">
      <c r="A63" s="6" t="str">
        <f>CONCATENATE('Jul-Mar'!C17," (",'Jul-Mar'!G17,")")</f>
        <v>North Goonyella No. 1 (768)</v>
      </c>
      <c r="B63" s="6" t="str">
        <f>'Jul-Mar'!C17</f>
        <v>North Goonyella No. 1</v>
      </c>
      <c r="C63" s="12">
        <f>VLOOKUP($B63,'Jul-Mar'!$C$5:$S$20,16,FALSE)</f>
        <v>485.67676399129647</v>
      </c>
      <c r="D63" s="12" t="e">
        <f>VLOOKUP($B63,#REF!,16,FALSE)</f>
        <v>#REF!</v>
      </c>
      <c r="E63" s="12" t="e">
        <f>VLOOKUP($B63,#REF!,12,FALSE)</f>
        <v>#REF!</v>
      </c>
      <c r="Q63" s="13"/>
      <c r="R63" s="13"/>
      <c r="T63" s="16"/>
    </row>
    <row r="64" spans="1:20" ht="12.75">
      <c r="A64" s="6" t="str">
        <f>CONCATENATE('Jul-Mar'!C7," (",'Jul-Mar'!G7,")")</f>
        <v>Broadmeadow - G.E.Adit (619)</v>
      </c>
      <c r="B64" s="6" t="str">
        <f>'Jul-Mar'!C7</f>
        <v>Broadmeadow - G.E.Adit</v>
      </c>
      <c r="C64" s="12">
        <f>VLOOKUP($B64,'Jul-Mar'!$C$5:$S$20,16,FALSE)</f>
        <v>397.4257964203789</v>
      </c>
      <c r="D64" s="12" t="e">
        <f>VLOOKUP($B64,#REF!,16,FALSE)</f>
        <v>#REF!</v>
      </c>
      <c r="E64" s="12" t="e">
        <f>VLOOKUP($B64,#REF!,12,FALSE)</f>
        <v>#REF!</v>
      </c>
      <c r="Q64" s="8"/>
      <c r="R64" s="8"/>
      <c r="T64" s="16"/>
    </row>
    <row r="65" spans="1:18" ht="12.75">
      <c r="A65" s="6" t="str">
        <f>CONCATENATE('Jul-Mar'!C15," (",'Jul-Mar'!G15,")")</f>
        <v>Moranbah North (913)</v>
      </c>
      <c r="B65" s="6" t="str">
        <f>'Jul-Mar'!C15</f>
        <v>Moranbah North</v>
      </c>
      <c r="C65" s="12">
        <f>VLOOKUP($B65,'Jul-Mar'!$C$5:$S$20,16,FALSE)</f>
        <v>642.9294677741366</v>
      </c>
      <c r="D65" s="12" t="e">
        <f>VLOOKUP($B65,#REF!,16,FALSE)</f>
        <v>#REF!</v>
      </c>
      <c r="E65" s="12" t="e">
        <f>VLOOKUP($B65,#REF!,12,FALSE)</f>
        <v>#REF!</v>
      </c>
      <c r="Q65" s="13"/>
      <c r="R65" s="13"/>
    </row>
    <row r="66" spans="1:20" ht="12.75">
      <c r="A66" s="6" t="str">
        <f>CONCATENATE('Jul-Mar'!C16," (",'Jul-Mar'!G16,")")</f>
        <v>Newlands Northern Underground (513)</v>
      </c>
      <c r="B66" s="6" t="str">
        <f>'Jul-Mar'!C16</f>
        <v>Newlands Northern Underground</v>
      </c>
      <c r="C66" s="12">
        <f>VLOOKUP($B66,'Jul-Mar'!$C$5:$S$20,16,FALSE)</f>
        <v>507.2679502039189</v>
      </c>
      <c r="D66" s="12" t="e">
        <f>VLOOKUP($B66,#REF!,16,FALSE)</f>
        <v>#REF!</v>
      </c>
      <c r="E66" s="12" t="e">
        <f>VLOOKUP($B66,#REF!,12,FALSE)</f>
        <v>#REF!</v>
      </c>
      <c r="Q66" s="13"/>
      <c r="R66" s="13"/>
      <c r="T66" s="1"/>
    </row>
    <row r="67" spans="1:18" ht="12.75">
      <c r="A67" s="6" t="str">
        <f>CONCATENATE('Jul-Mar'!C11," (",'Jul-Mar'!G11,")")</f>
        <v>Crinum (264)</v>
      </c>
      <c r="B67" s="6" t="str">
        <f>'Jul-Mar'!C11</f>
        <v>Crinum</v>
      </c>
      <c r="C67" s="12">
        <f>VLOOKUP($B67,'Jul-Mar'!$C$5:$S$20,16,FALSE)</f>
        <v>474.51761151163873</v>
      </c>
      <c r="D67" s="12" t="e">
        <f>VLOOKUP($B67,#REF!,16,FALSE)</f>
        <v>#REF!</v>
      </c>
      <c r="E67" s="12" t="e">
        <f>VLOOKUP($B67,#REF!,12,FALSE)</f>
        <v>#REF!</v>
      </c>
      <c r="Q67" s="13"/>
      <c r="R67" s="13"/>
    </row>
    <row r="68" spans="1:20" ht="12.75">
      <c r="A68" s="6" t="str">
        <f>CONCATENATE('Jul-Mar'!C9," (",'Jul-Mar'!G9,")")</f>
        <v>Carborough Downs (Includes Prep Plant) (528)</v>
      </c>
      <c r="B68" s="6" t="str">
        <f>'Jul-Mar'!C9</f>
        <v>Carborough Downs (Includes Prep Plant)</v>
      </c>
      <c r="C68" s="12">
        <f>VLOOKUP($B68,'Jul-Mar'!$C$5:$S$20,16,FALSE)</f>
        <v>490.47147685420515</v>
      </c>
      <c r="D68" s="12" t="e">
        <f>VLOOKUP($B68,#REF!,16,FALSE)</f>
        <v>#REF!</v>
      </c>
      <c r="E68" s="12" t="e">
        <f>VLOOKUP($B68,#REF!,12,FALSE)</f>
        <v>#REF!</v>
      </c>
      <c r="Q68" s="13"/>
      <c r="R68" s="13"/>
      <c r="T68" s="18"/>
    </row>
    <row r="69" spans="1:20" ht="12.75">
      <c r="A69" s="6" t="str">
        <f>CONCATENATE('Jul-Mar'!C12," (",'Jul-Mar'!G12,")")</f>
        <v>Grasstree (757)</v>
      </c>
      <c r="B69" s="6" t="str">
        <f>'Jul-Mar'!C12</f>
        <v>Grasstree</v>
      </c>
      <c r="C69" s="12">
        <f>VLOOKUP($B69,'Jul-Mar'!$C$5:$S$20,16,FALSE)</f>
        <v>361.17402261593514</v>
      </c>
      <c r="D69" s="12" t="e">
        <f>VLOOKUP($B69,#REF!,16,FALSE)</f>
        <v>#REF!</v>
      </c>
      <c r="E69" s="12" t="e">
        <f>VLOOKUP($B69,#REF!,12,FALSE)</f>
        <v>#REF!</v>
      </c>
      <c r="Q69" s="13"/>
      <c r="R69" s="13"/>
      <c r="T69" s="19"/>
    </row>
    <row r="70" spans="1:20" ht="12.75">
      <c r="A70" s="6" t="str">
        <f>CONCATENATE('Jul-Mar'!C14," (",'Jul-Mar'!G14,")")</f>
        <v>Kestrel Mine Extension Project (842)</v>
      </c>
      <c r="B70" s="6" t="str">
        <f>'Jul-Mar'!C14</f>
        <v>Kestrel Mine Extension Project</v>
      </c>
      <c r="C70" s="12">
        <f>VLOOKUP($B70,'Jul-Mar'!$C$5:$S$20,16,FALSE)</f>
        <v>24.53417352117041</v>
      </c>
      <c r="D70" s="12" t="e">
        <f>VLOOKUP($B70,#REF!,16,FALSE)</f>
        <v>#REF!</v>
      </c>
      <c r="E70" s="12" t="e">
        <f>VLOOKUP($B70,#REF!,12,FALSE)</f>
        <v>#REF!</v>
      </c>
      <c r="Q70" s="13"/>
      <c r="R70" s="13"/>
      <c r="T70" s="19"/>
    </row>
    <row r="71" spans="1:20" ht="12.75">
      <c r="A71" s="6" t="str">
        <f>CONCATENATE('Jul-Mar'!C18," (",'Jul-Mar'!G18,")")</f>
        <v>Oaky Creek No. 1 (470)</v>
      </c>
      <c r="B71" s="6" t="str">
        <f>'Jul-Mar'!C18</f>
        <v>Oaky Creek No. 1</v>
      </c>
      <c r="C71" s="12">
        <f>VLOOKUP($B71,'Jul-Mar'!$C$5:$S$20,16,FALSE)</f>
        <v>18.41536971310082</v>
      </c>
      <c r="D71" s="12" t="e">
        <f>VLOOKUP($B71,#REF!,16,FALSE)</f>
        <v>#REF!</v>
      </c>
      <c r="E71" s="12" t="e">
        <f>VLOOKUP($B71,#REF!,12,FALSE)</f>
        <v>#REF!</v>
      </c>
      <c r="Q71" s="13"/>
      <c r="R71" s="13"/>
      <c r="T71" s="19"/>
    </row>
    <row r="72" spans="1:20" ht="12.75">
      <c r="A72" s="6" t="str">
        <f>CONCATENATE('Jul-Mar'!C19," (",'Jul-Mar'!G19,")")</f>
        <v>Oaky North Underground (470)</v>
      </c>
      <c r="B72" s="6" t="str">
        <f>'Jul-Mar'!C19</f>
        <v>Oaky North Underground</v>
      </c>
      <c r="C72" s="12">
        <f>VLOOKUP($B72,'Jul-Mar'!$C$5:$S$20,16,FALSE)</f>
        <v>0</v>
      </c>
      <c r="D72" s="12" t="e">
        <f>VLOOKUP($B72,#REF!,16,FALSE)</f>
        <v>#REF!</v>
      </c>
      <c r="E72" s="12" t="e">
        <f>VLOOKUP($B72,#REF!,12,FALSE)</f>
        <v>#REF!</v>
      </c>
      <c r="Q72" s="13"/>
      <c r="R72" s="13"/>
      <c r="T72" s="19"/>
    </row>
    <row r="73" spans="1:20" ht="12.75">
      <c r="A73" s="6" t="str">
        <f>CONCATENATE('Jul-Mar'!C6," (",'Jul-Mar'!G6,")")</f>
        <v>Aquila (82)</v>
      </c>
      <c r="B73" s="6" t="str">
        <f>'Jul-Mar'!C6</f>
        <v>Aquila</v>
      </c>
      <c r="C73" s="12">
        <f>VLOOKUP($B73,'Jul-Mar'!$C$5:$S$20,16,FALSE)</f>
        <v>149.2931543346693</v>
      </c>
      <c r="D73" s="12" t="e">
        <f>VLOOKUP($B73,#REF!,16,FALSE)</f>
        <v>#REF!</v>
      </c>
      <c r="E73" s="12" t="e">
        <f>VLOOKUP($B73,#REF!,12,FALSE)</f>
        <v>#REF!</v>
      </c>
      <c r="Q73" s="13"/>
      <c r="R73" s="13"/>
      <c r="T73" s="20"/>
    </row>
    <row r="74" spans="1:20" ht="12.75">
      <c r="A74" s="6" t="str">
        <f>CONCATENATE('Jul-Mar'!C10," (",'Jul-Mar'!G10,")")</f>
        <v>Cook (312)</v>
      </c>
      <c r="B74" s="6" t="str">
        <f>'Jul-Mar'!C10</f>
        <v>Cook</v>
      </c>
      <c r="C74" s="12">
        <f>VLOOKUP($B74,'Jul-Mar'!$C$5:$S$20,16,FALSE)</f>
        <v>191.71018708269983</v>
      </c>
      <c r="D74" s="12" t="e">
        <f>VLOOKUP($B74,#REF!,16,FALSE)</f>
        <v>#REF!</v>
      </c>
      <c r="E74" s="12" t="e">
        <f>VLOOKUP($B74,#REF!,12,FALSE)</f>
        <v>#REF!</v>
      </c>
      <c r="Q74" s="13"/>
      <c r="R74" s="13"/>
      <c r="T74" s="17"/>
    </row>
    <row r="75" spans="1:19" ht="12.75">
      <c r="A75" s="6" t="str">
        <f>CONCATENATE('Jul-Mar'!C13," (",'Jul-Mar'!G13,")")</f>
        <v>Kestrel (574)</v>
      </c>
      <c r="B75" s="6" t="str">
        <f>'Jul-Mar'!C13</f>
        <v>Kestrel</v>
      </c>
      <c r="C75" s="12">
        <f>VLOOKUP($B75,'Jul-Mar'!$C$5:$S$20,16,FALSE)</f>
        <v>24.553784081879996</v>
      </c>
      <c r="D75" s="12" t="e">
        <f>VLOOKUP($B75,#REF!,16,FALSE)</f>
        <v>#REF!</v>
      </c>
      <c r="E75" s="12" t="e">
        <f>VLOOKUP($B75,#REF!,12,FALSE)</f>
        <v>#REF!</v>
      </c>
      <c r="Q75" s="13"/>
      <c r="R75" s="13"/>
      <c r="S75" s="13"/>
    </row>
    <row r="76" spans="1:19" ht="12.75">
      <c r="A76" s="6"/>
      <c r="B76" s="6"/>
      <c r="C76" s="47"/>
      <c r="D76" s="47"/>
      <c r="E76" s="47"/>
      <c r="Q76" s="13"/>
      <c r="R76" s="13"/>
      <c r="S76" s="13"/>
    </row>
    <row r="77" spans="1:20" ht="12.75">
      <c r="A77" s="13"/>
      <c r="B77" s="13"/>
      <c r="C77" s="9"/>
      <c r="D77" s="13"/>
      <c r="Q77" s="13"/>
      <c r="R77" s="13"/>
      <c r="S77" s="13"/>
      <c r="T77" s="13"/>
    </row>
    <row r="78" spans="1:4" ht="12.75">
      <c r="A78" s="13"/>
      <c r="B78" s="13"/>
      <c r="C78" s="9"/>
      <c r="D78" s="13"/>
    </row>
    <row r="79" spans="1:4" ht="12.75">
      <c r="A79" s="13"/>
      <c r="B79" s="13"/>
      <c r="D79" s="13"/>
    </row>
    <row r="80" spans="17:20" ht="12.75">
      <c r="Q80" s="13"/>
      <c r="R80" s="13"/>
      <c r="S80" s="13"/>
      <c r="T80" s="13"/>
    </row>
    <row r="82" spans="1:2" ht="12.75">
      <c r="A82" s="13"/>
      <c r="B82" s="13"/>
    </row>
    <row r="111" spans="17:19" ht="12.75">
      <c r="Q111" s="2"/>
      <c r="R111" s="2"/>
      <c r="S111" s="3"/>
    </row>
    <row r="112" spans="17:19" ht="12.75">
      <c r="Q112" s="11"/>
      <c r="R112" s="11"/>
      <c r="S112" s="3"/>
    </row>
    <row r="113" spans="17:19" ht="12.75">
      <c r="Q113" s="12"/>
      <c r="R113" s="12"/>
      <c r="S113" s="16"/>
    </row>
    <row r="114" spans="3:19" ht="39">
      <c r="C114" s="46" t="s">
        <v>22</v>
      </c>
      <c r="D114" s="46" t="s">
        <v>22</v>
      </c>
      <c r="E114" s="46" t="s">
        <v>22</v>
      </c>
      <c r="Q114" s="12"/>
      <c r="R114" s="12"/>
      <c r="S114" s="16"/>
    </row>
    <row r="115" spans="3:18" ht="12.75">
      <c r="C115" s="22" t="s">
        <v>69</v>
      </c>
      <c r="D115" s="22" t="s">
        <v>61</v>
      </c>
      <c r="E115" s="10" t="s">
        <v>27</v>
      </c>
      <c r="Q115" s="1"/>
      <c r="R115" s="1"/>
    </row>
    <row r="116" spans="1:19" ht="12.75">
      <c r="A116" s="35" t="s">
        <v>10</v>
      </c>
      <c r="B116" s="35"/>
      <c r="C116" s="48"/>
      <c r="D116" s="48">
        <v>27.235880398671096</v>
      </c>
      <c r="E116" s="48">
        <v>26.09760956175299</v>
      </c>
      <c r="Q116" s="13"/>
      <c r="R116" s="13"/>
      <c r="S116" s="1"/>
    </row>
    <row r="117" spans="1:18" ht="12.75">
      <c r="A117" s="35" t="s">
        <v>62</v>
      </c>
      <c r="B117" s="35"/>
      <c r="C117" s="48"/>
      <c r="D117" s="48">
        <v>30.81413612565445</v>
      </c>
      <c r="E117" s="48">
        <v>25.481927710843372</v>
      </c>
      <c r="Q117" s="13"/>
      <c r="R117" s="13"/>
    </row>
    <row r="118" spans="1:18" ht="12.75">
      <c r="A118" s="35" t="s">
        <v>63</v>
      </c>
      <c r="B118" s="35"/>
      <c r="C118" s="48"/>
      <c r="D118" s="48">
        <v>21.022727272727273</v>
      </c>
      <c r="E118" s="48">
        <v>27.3</v>
      </c>
      <c r="Q118" s="13"/>
      <c r="R118" s="13"/>
    </row>
    <row r="119" spans="1:19" ht="12.75">
      <c r="A119" s="6" t="str">
        <f>CONCATENATE('Jul-Mar'!C8," (",'Jul-Mar'!G8,")")</f>
        <v>Bundoora (2)</v>
      </c>
      <c r="B119" s="6" t="str">
        <f>'Jul-Mar'!C8</f>
        <v>Bundoora</v>
      </c>
      <c r="C119" s="12">
        <f>VLOOKUP($B119,'Jul-Mar'!$C$5:$S$20,17,FALSE)</f>
        <v>0</v>
      </c>
      <c r="D119" s="12" t="e">
        <f>VLOOKUP($B119,#REF!,17,FALSE)</f>
        <v>#REF!</v>
      </c>
      <c r="E119" s="12" t="e">
        <f>VLOOKUP($B119,#REF!,13,FALSE)</f>
        <v>#REF!</v>
      </c>
      <c r="Q119" s="15"/>
      <c r="R119" s="15"/>
      <c r="S119" s="17"/>
    </row>
    <row r="120" spans="1:19" ht="12.75">
      <c r="A120" s="6" t="str">
        <f>CONCATENATE('Jul-Mar'!C7," (",'Jul-Mar'!G7,")")</f>
        <v>Broadmeadow - G.E.Adit (619)</v>
      </c>
      <c r="B120" s="6" t="str">
        <f>'Jul-Mar'!C7</f>
        <v>Broadmeadow - G.E.Adit</v>
      </c>
      <c r="C120" s="12">
        <f>VLOOKUP($B120,'Jul-Mar'!$C$5:$S$20,17,FALSE)</f>
        <v>27.444444444444443</v>
      </c>
      <c r="D120" s="12" t="e">
        <f>VLOOKUP($B120,#REF!,17,FALSE)</f>
        <v>#REF!</v>
      </c>
      <c r="E120" s="12" t="e">
        <f>VLOOKUP($B120,#REF!,13,FALSE)</f>
        <v>#REF!</v>
      </c>
      <c r="F120" s="15"/>
      <c r="Q120" s="15"/>
      <c r="R120" s="15"/>
      <c r="S120" s="18"/>
    </row>
    <row r="121" spans="1:19" ht="12.75">
      <c r="A121" s="6" t="str">
        <f>CONCATENATE('Jul-Mar'!C17," (",'Jul-Mar'!G17,")")</f>
        <v>North Goonyella No. 1 (768)</v>
      </c>
      <c r="B121" s="6" t="str">
        <f>'Jul-Mar'!C17</f>
        <v>North Goonyella No. 1</v>
      </c>
      <c r="C121" s="12">
        <f>VLOOKUP($B121,'Jul-Mar'!$C$5:$S$20,17,FALSE)</f>
        <v>17.47826086956522</v>
      </c>
      <c r="D121" s="12" t="e">
        <f>VLOOKUP($B121,#REF!,17,FALSE)</f>
        <v>#REF!</v>
      </c>
      <c r="E121" s="12" t="e">
        <f>VLOOKUP($B121,#REF!,13,FALSE)</f>
        <v>#REF!</v>
      </c>
      <c r="F121" s="15"/>
      <c r="Q121" s="15"/>
      <c r="R121" s="15"/>
      <c r="S121" s="19"/>
    </row>
    <row r="122" spans="1:19" ht="12.75">
      <c r="A122" s="6" t="str">
        <f>CONCATENATE('Jul-Mar'!C16," (",'Jul-Mar'!G16,")")</f>
        <v>Newlands Northern Underground (513)</v>
      </c>
      <c r="B122" s="6" t="str">
        <f>'Jul-Mar'!C16</f>
        <v>Newlands Northern Underground</v>
      </c>
      <c r="C122" s="12">
        <f>VLOOKUP($B122,'Jul-Mar'!$C$5:$S$20,17,FALSE)</f>
        <v>27</v>
      </c>
      <c r="D122" s="12" t="e">
        <f>VLOOKUP($B122,#REF!,17,FALSE)</f>
        <v>#REF!</v>
      </c>
      <c r="E122" s="12" t="e">
        <f>VLOOKUP($B122,#REF!,13,FALSE)</f>
        <v>#REF!</v>
      </c>
      <c r="Q122" s="13"/>
      <c r="R122" s="13"/>
      <c r="S122" s="19"/>
    </row>
    <row r="123" spans="1:19" ht="12.75">
      <c r="A123" s="6" t="str">
        <f>CONCATENATE('Jul-Mar'!C11," (",'Jul-Mar'!G11,")")</f>
        <v>Crinum (264)</v>
      </c>
      <c r="B123" s="6" t="str">
        <f>'Jul-Mar'!C11</f>
        <v>Crinum</v>
      </c>
      <c r="C123" s="12">
        <f>VLOOKUP($B123,'Jul-Mar'!$C$5:$S$20,17,FALSE)</f>
        <v>24.647058823529413</v>
      </c>
      <c r="D123" s="12" t="e">
        <f>VLOOKUP($B123,#REF!,17,FALSE)</f>
        <v>#REF!</v>
      </c>
      <c r="E123" s="12" t="e">
        <f>VLOOKUP($B123,#REF!,13,FALSE)</f>
        <v>#REF!</v>
      </c>
      <c r="Q123" s="15"/>
      <c r="R123" s="15"/>
      <c r="S123" s="19"/>
    </row>
    <row r="124" spans="1:19" ht="12.75">
      <c r="A124" s="6" t="str">
        <f>CONCATENATE('Jul-Mar'!C15," (",'Jul-Mar'!G15,")")</f>
        <v>Moranbah North (913)</v>
      </c>
      <c r="B124" s="6" t="str">
        <f>'Jul-Mar'!C15</f>
        <v>Moranbah North</v>
      </c>
      <c r="C124" s="12">
        <f>VLOOKUP($B124,'Jul-Mar'!$C$5:$S$20,17,FALSE)</f>
        <v>15.76595744680851</v>
      </c>
      <c r="D124" s="12" t="e">
        <f>VLOOKUP($B124,#REF!,17,FALSE)</f>
        <v>#REF!</v>
      </c>
      <c r="E124" s="12" t="e">
        <f>VLOOKUP($B124,#REF!,13,FALSE)</f>
        <v>#REF!</v>
      </c>
      <c r="Q124" s="15"/>
      <c r="R124" s="15"/>
      <c r="S124" s="19"/>
    </row>
    <row r="125" spans="1:19" ht="12.75">
      <c r="A125" s="6" t="str">
        <f>CONCATENATE('Jul-Mar'!C9," (",'Jul-Mar'!G9,")")</f>
        <v>Carborough Downs (Includes Prep Plant) (528)</v>
      </c>
      <c r="B125" s="6" t="str">
        <f>'Jul-Mar'!C9</f>
        <v>Carborough Downs (Includes Prep Plant)</v>
      </c>
      <c r="C125" s="12">
        <f>VLOOKUP($B125,'Jul-Mar'!$C$5:$S$20,17,FALSE)</f>
        <v>13.095238095238095</v>
      </c>
      <c r="D125" s="12" t="e">
        <f>VLOOKUP($B125,#REF!,17,FALSE)</f>
        <v>#REF!</v>
      </c>
      <c r="E125" s="12" t="e">
        <f>VLOOKUP($B125,#REF!,13,FALSE)</f>
        <v>#REF!</v>
      </c>
      <c r="R125" s="13"/>
      <c r="S125" s="20"/>
    </row>
    <row r="126" spans="1:19" ht="12.75">
      <c r="A126" s="6" t="str">
        <f>CONCATENATE('Jul-Mar'!C12," (",'Jul-Mar'!G12,")")</f>
        <v>Grasstree (757)</v>
      </c>
      <c r="B126" s="6" t="str">
        <f>'Jul-Mar'!C12</f>
        <v>Grasstree</v>
      </c>
      <c r="C126" s="12">
        <f>VLOOKUP($B126,'Jul-Mar'!$C$5:$S$20,17,FALSE)</f>
        <v>12.56</v>
      </c>
      <c r="D126" s="12" t="e">
        <f>VLOOKUP($B126,#REF!,17,FALSE)</f>
        <v>#REF!</v>
      </c>
      <c r="E126" s="12" t="e">
        <f>VLOOKUP($B126,#REF!,13,FALSE)</f>
        <v>#REF!</v>
      </c>
      <c r="Q126" s="13"/>
      <c r="R126" s="13"/>
      <c r="S126" s="17"/>
    </row>
    <row r="127" spans="1:19" ht="12.75">
      <c r="A127" s="6" t="str">
        <f>CONCATENATE('Jul-Mar'!C19," (",'Jul-Mar'!G19,")")</f>
        <v>Oaky North Underground (470)</v>
      </c>
      <c r="B127" s="6" t="str">
        <f>'Jul-Mar'!C19</f>
        <v>Oaky North Underground</v>
      </c>
      <c r="C127" s="12">
        <f>VLOOKUP($B127,'Jul-Mar'!$C$5:$S$20,17,FALSE)</f>
        <v>0</v>
      </c>
      <c r="D127" s="12" t="e">
        <f>VLOOKUP($B127,#REF!,17,FALSE)</f>
        <v>#REF!</v>
      </c>
      <c r="E127" s="12" t="e">
        <f>VLOOKUP($B127,#REF!,13,FALSE)</f>
        <v>#REF!</v>
      </c>
      <c r="Q127" s="15"/>
      <c r="R127" s="15"/>
      <c r="S127" s="15"/>
    </row>
    <row r="128" spans="1:19" ht="12.75">
      <c r="A128" s="6" t="str">
        <f>CONCATENATE('Jul-Mar'!C14," (",'Jul-Mar'!G14,")")</f>
        <v>Kestrel Mine Extension Project (842)</v>
      </c>
      <c r="B128" s="6" t="str">
        <f>'Jul-Mar'!C14</f>
        <v>Kestrel Mine Extension Project</v>
      </c>
      <c r="C128" s="12">
        <f>VLOOKUP($B128,'Jul-Mar'!$C$5:$S$20,17,FALSE)</f>
        <v>3.8</v>
      </c>
      <c r="D128" s="12" t="e">
        <f>VLOOKUP($B128,#REF!,17,FALSE)</f>
        <v>#REF!</v>
      </c>
      <c r="E128" s="12" t="e">
        <f>VLOOKUP($B128,#REF!,13,FALSE)</f>
        <v>#REF!</v>
      </c>
      <c r="Q128" s="15"/>
      <c r="R128" s="15"/>
      <c r="S128" s="15"/>
    </row>
    <row r="129" spans="1:5" ht="12.75">
      <c r="A129" s="6" t="str">
        <f>CONCATENATE('Jul-Mar'!C18," (",'Jul-Mar'!G18,")")</f>
        <v>Oaky Creek No. 1 (470)</v>
      </c>
      <c r="B129" s="6" t="str">
        <f>'Jul-Mar'!C18</f>
        <v>Oaky Creek No. 1</v>
      </c>
      <c r="C129" s="12">
        <f>VLOOKUP($B129,'Jul-Mar'!$C$5:$S$20,17,FALSE)</f>
        <v>5</v>
      </c>
      <c r="D129" s="12" t="e">
        <f>VLOOKUP($B129,#REF!,17,FALSE)</f>
        <v>#REF!</v>
      </c>
      <c r="E129" s="12" t="e">
        <f>VLOOKUP($B129,#REF!,13,FALSE)</f>
        <v>#REF!</v>
      </c>
    </row>
    <row r="130" spans="1:5" ht="12.75">
      <c r="A130" s="6" t="str">
        <f>CONCATENATE('Jul-Mar'!C6," (",'Jul-Mar'!G6,")")</f>
        <v>Aquila (82)</v>
      </c>
      <c r="B130" s="6" t="str">
        <f>'Jul-Mar'!C6</f>
        <v>Aquila</v>
      </c>
      <c r="C130" s="12">
        <f>VLOOKUP($B130,'Jul-Mar'!$C$5:$S$20,17,FALSE)</f>
        <v>13</v>
      </c>
      <c r="D130" s="12" t="e">
        <f>VLOOKUP($B130,#REF!,17,FALSE)</f>
        <v>#REF!</v>
      </c>
      <c r="E130" s="12" t="e">
        <f>VLOOKUP($B130,#REF!,13,FALSE)</f>
        <v>#REF!</v>
      </c>
    </row>
    <row r="131" spans="1:19" ht="12.75">
      <c r="A131" s="6" t="str">
        <f>CONCATENATE('Jul-Mar'!C10," (",'Jul-Mar'!G10,")")</f>
        <v>Cook (312)</v>
      </c>
      <c r="B131" s="6" t="str">
        <f>'Jul-Mar'!C10</f>
        <v>Cook</v>
      </c>
      <c r="C131" s="12">
        <f>VLOOKUP($B131,'Jul-Mar'!$C$5:$S$20,17,FALSE)</f>
        <v>8.285714285714286</v>
      </c>
      <c r="D131" s="12" t="e">
        <f>VLOOKUP($B131,#REF!,17,FALSE)</f>
        <v>#REF!</v>
      </c>
      <c r="E131" s="12" t="e">
        <f>VLOOKUP($B131,#REF!,13,FALSE)</f>
        <v>#REF!</v>
      </c>
      <c r="Q131" s="15"/>
      <c r="R131" s="15"/>
      <c r="S131" s="15"/>
    </row>
    <row r="132" spans="1:5" ht="12.75">
      <c r="A132" s="6" t="str">
        <f>CONCATENATE('Jul-Mar'!C13," (",'Jul-Mar'!G13,")")</f>
        <v>Kestrel (574)</v>
      </c>
      <c r="B132" s="6" t="str">
        <f>'Jul-Mar'!C13</f>
        <v>Kestrel</v>
      </c>
      <c r="C132" s="12">
        <f>VLOOKUP($B132,'Jul-Mar'!$C$5:$S$20,17,FALSE)</f>
        <v>12.5</v>
      </c>
      <c r="D132" s="12" t="e">
        <f>VLOOKUP($B132,#REF!,17,FALSE)</f>
        <v>#REF!</v>
      </c>
      <c r="E132" s="12" t="e">
        <f>VLOOKUP($B132,#REF!,13,FALSE)</f>
        <v>#REF!</v>
      </c>
    </row>
    <row r="133" spans="1:5" ht="12.75">
      <c r="A133" s="6"/>
      <c r="B133" s="6"/>
      <c r="C133" s="49"/>
      <c r="D133" s="49"/>
      <c r="E133" s="49"/>
    </row>
    <row r="134" spans="1:5" ht="12.75">
      <c r="A134" s="13"/>
      <c r="B134" s="13"/>
      <c r="C134" s="13"/>
      <c r="D134" s="13"/>
      <c r="E134" s="13"/>
    </row>
    <row r="135" spans="1:5" ht="12.75">
      <c r="A135" s="13"/>
      <c r="B135" s="13"/>
      <c r="C135" s="13"/>
      <c r="D135" s="13"/>
      <c r="E135" s="13"/>
    </row>
    <row r="136" spans="1:5" ht="12.75">
      <c r="A136" s="15"/>
      <c r="B136" s="15"/>
      <c r="C136" s="15"/>
      <c r="D136" s="15"/>
      <c r="E136" s="15"/>
    </row>
    <row r="137" spans="1:5" ht="12.75">
      <c r="A137" s="15"/>
      <c r="B137" s="15"/>
      <c r="C137" s="15"/>
      <c r="D137" s="15"/>
      <c r="E137" s="15"/>
    </row>
    <row r="138" spans="1:2" ht="12.75">
      <c r="A138" s="3"/>
      <c r="B138" s="3"/>
    </row>
    <row r="139" spans="1:2" ht="12.75">
      <c r="A139" s="3"/>
      <c r="B139" s="3"/>
    </row>
    <row r="140" spans="1:2" ht="12.75">
      <c r="A140" s="16"/>
      <c r="B140" s="16"/>
    </row>
    <row r="141" spans="1:2" ht="12.75">
      <c r="A141" s="16"/>
      <c r="B141" s="16"/>
    </row>
    <row r="143" spans="1:2" ht="12.75">
      <c r="A143" s="1"/>
      <c r="B143" s="1"/>
    </row>
    <row r="144" spans="1:2" ht="12.75">
      <c r="A144" s="17"/>
      <c r="B144" s="17"/>
    </row>
    <row r="145" spans="1:2" ht="12.75">
      <c r="A145" s="18"/>
      <c r="B145" s="18"/>
    </row>
    <row r="146" spans="1:2" ht="12.75">
      <c r="A146" s="19"/>
      <c r="B146" s="19"/>
    </row>
    <row r="147" spans="1:2" ht="12.75">
      <c r="A147" s="19"/>
      <c r="B147" s="19"/>
    </row>
    <row r="148" spans="1:2" ht="12.75">
      <c r="A148" s="19"/>
      <c r="B148" s="19"/>
    </row>
    <row r="149" spans="1:2" ht="12.75">
      <c r="A149" s="19"/>
      <c r="B149" s="19"/>
    </row>
    <row r="150" spans="1:2" ht="12.75">
      <c r="A150" s="20"/>
      <c r="B150" s="20"/>
    </row>
    <row r="151" spans="1:2" ht="12.75">
      <c r="A151" s="17"/>
      <c r="B151" s="17"/>
    </row>
  </sheetData>
  <sheetProtection/>
  <printOptions/>
  <pageMargins left="0.22" right="0.17" top="0.34" bottom="1" header="0.18" footer="0.5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H154"/>
  <sheetViews>
    <sheetView zoomScalePageLayoutView="0" workbookViewId="0" topLeftCell="A4">
      <selection activeCell="A12" sqref="A12"/>
    </sheetView>
  </sheetViews>
  <sheetFormatPr defaultColWidth="9.140625" defaultRowHeight="12.75"/>
  <cols>
    <col min="1" max="1" width="39.28125" style="0" customWidth="1"/>
    <col min="2" max="2" width="10.421875" style="0" hidden="1" customWidth="1"/>
    <col min="3" max="3" width="10.421875" style="0" customWidth="1"/>
    <col min="4" max="4" width="10.8515625" style="0" customWidth="1"/>
    <col min="5" max="5" width="10.421875" style="0" customWidth="1"/>
    <col min="7" max="8" width="10.57421875" style="0" customWidth="1"/>
    <col min="10" max="10" width="11.57421875" style="0" customWidth="1"/>
    <col min="21" max="21" width="25.28125" style="0" customWidth="1"/>
    <col min="25" max="26" width="10.140625" style="0" customWidth="1"/>
    <col min="27" max="27" width="10.00390625" style="0" customWidth="1"/>
    <col min="29" max="29" width="9.421875" style="0" customWidth="1"/>
    <col min="31" max="31" width="13.421875" style="0" customWidth="1"/>
    <col min="32" max="32" width="10.57421875" style="0" customWidth="1"/>
    <col min="34" max="35" width="10.57421875" style="0" customWidth="1"/>
    <col min="36" max="36" width="10.00390625" style="0" customWidth="1"/>
    <col min="37" max="37" width="12.8515625" style="0" customWidth="1"/>
    <col min="58" max="58" width="17.57421875" style="0" customWidth="1"/>
    <col min="59" max="59" width="16.28125" style="0" customWidth="1"/>
  </cols>
  <sheetData>
    <row r="1" s="14" customFormat="1" ht="12.75"/>
    <row r="2" spans="1:83" ht="12.75">
      <c r="A2" s="6"/>
      <c r="B2" s="6"/>
      <c r="C2" s="6"/>
      <c r="D2" s="16"/>
      <c r="E2" s="30"/>
      <c r="F2" s="25"/>
      <c r="G2" s="26"/>
      <c r="H2" s="26"/>
      <c r="I2" s="26"/>
      <c r="J2" s="25"/>
      <c r="K2" s="21"/>
      <c r="L2" s="26"/>
      <c r="M2" s="31"/>
      <c r="N2" s="27"/>
      <c r="O2" s="27"/>
      <c r="P2" s="27"/>
      <c r="Q2" s="27"/>
      <c r="R2" s="27"/>
      <c r="S2" s="27"/>
      <c r="T2" s="27"/>
      <c r="U2" s="27"/>
      <c r="V2" s="27"/>
      <c r="W2" s="21"/>
      <c r="X2" s="28"/>
      <c r="Y2" s="21"/>
      <c r="Z2" s="32"/>
      <c r="AA2" s="31"/>
      <c r="AB2" s="26"/>
      <c r="AC2" s="31"/>
      <c r="AD2" s="31"/>
      <c r="AE2" s="31"/>
      <c r="AF2" s="26"/>
      <c r="AG2" s="26"/>
      <c r="AH2" s="26"/>
      <c r="AI2" s="26"/>
      <c r="AJ2" s="16"/>
      <c r="BY2" s="23"/>
      <c r="BZ2" s="17"/>
      <c r="CB2" s="13"/>
      <c r="CE2" s="13"/>
    </row>
    <row r="3" spans="4:86" ht="12.75">
      <c r="D3" s="16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23"/>
      <c r="CA3" s="23"/>
      <c r="CB3" s="33"/>
      <c r="CC3" s="18"/>
      <c r="CD3" s="23"/>
      <c r="CE3" s="34"/>
      <c r="CF3" s="18"/>
      <c r="CG3" s="18"/>
      <c r="CH3" s="18"/>
    </row>
    <row r="4" spans="3:86" ht="12.75">
      <c r="C4" s="10" t="s">
        <v>16</v>
      </c>
      <c r="D4" s="10" t="s">
        <v>16</v>
      </c>
      <c r="E4" s="10" t="s">
        <v>16</v>
      </c>
      <c r="F4" s="10" t="s">
        <v>16</v>
      </c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</row>
    <row r="5" spans="3:86" ht="12.75">
      <c r="C5" s="10" t="s">
        <v>69</v>
      </c>
      <c r="D5" s="10" t="s">
        <v>69</v>
      </c>
      <c r="E5" s="10" t="s">
        <v>69</v>
      </c>
      <c r="F5" s="10" t="s">
        <v>69</v>
      </c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</row>
    <row r="6" spans="1:86" ht="12.75">
      <c r="A6" s="5" t="s">
        <v>7</v>
      </c>
      <c r="B6" s="5"/>
      <c r="C6" s="10" t="s">
        <v>67</v>
      </c>
      <c r="D6" s="10" t="s">
        <v>65</v>
      </c>
      <c r="E6" s="10" t="s">
        <v>64</v>
      </c>
      <c r="F6" s="10" t="s">
        <v>66</v>
      </c>
      <c r="R6" s="2"/>
      <c r="S6" s="2"/>
      <c r="T6" s="2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</row>
    <row r="7" spans="1:20" ht="12.75">
      <c r="A7" s="35" t="s">
        <v>10</v>
      </c>
      <c r="B7" s="35"/>
      <c r="C7" s="36">
        <f>'Jul-Sep Bar graphs'!C6</f>
        <v>0</v>
      </c>
      <c r="D7" s="36">
        <f>'Jul-Dec Bar graphs'!C6</f>
        <v>0</v>
      </c>
      <c r="E7" s="36">
        <f>'Jul-Mar Bar graphs'!C6</f>
        <v>0</v>
      </c>
      <c r="F7" s="36" t="e">
        <f>#REF!</f>
        <v>#REF!</v>
      </c>
      <c r="R7" s="11"/>
      <c r="S7" s="11"/>
      <c r="T7" s="11"/>
    </row>
    <row r="8" spans="1:20" ht="12.75">
      <c r="A8" s="35" t="s">
        <v>62</v>
      </c>
      <c r="B8" s="35"/>
      <c r="C8" s="36">
        <f>'Jul-Sep Bar graphs'!C7</f>
        <v>0</v>
      </c>
      <c r="D8" s="36">
        <f>'Jul-Dec Bar graphs'!C7</f>
        <v>0</v>
      </c>
      <c r="E8" s="36">
        <f>'Jul-Mar Bar graphs'!C7</f>
        <v>0</v>
      </c>
      <c r="F8" s="36" t="e">
        <f>#REF!</f>
        <v>#REF!</v>
      </c>
      <c r="R8" s="12"/>
      <c r="S8" s="12"/>
      <c r="T8" s="12"/>
    </row>
    <row r="9" spans="1:20" ht="12.75">
      <c r="A9" s="35" t="s">
        <v>63</v>
      </c>
      <c r="B9" s="35"/>
      <c r="C9" s="36">
        <f>'Jul-Sep Bar graphs'!C8</f>
        <v>46.02300805230054</v>
      </c>
      <c r="D9" s="36">
        <f>'Jul-Dec Bar graphs'!C8</f>
        <v>0</v>
      </c>
      <c r="E9" s="36">
        <f>'Jul-Mar Bar graphs'!C8</f>
        <v>0</v>
      </c>
      <c r="F9" s="36" t="e">
        <f>#REF!</f>
        <v>#REF!</v>
      </c>
      <c r="R9" s="12"/>
      <c r="S9" s="12"/>
      <c r="T9" s="12"/>
    </row>
    <row r="10" spans="1:20" ht="12.75">
      <c r="A10" s="6" t="e">
        <f>CONCATENATE(#REF!," (",#REF!,")")</f>
        <v>#REF!</v>
      </c>
      <c r="B10" s="6" t="str">
        <f>'Jul-Mar'!C10</f>
        <v>Cook</v>
      </c>
      <c r="C10" s="12">
        <f>VLOOKUP($B10,'Jul-Sep Bar graphs'!$B$9:$C$22,2,FALSE)</f>
        <v>159.18623994141947</v>
      </c>
      <c r="D10" s="12">
        <f>VLOOKUP($B10,'Jul-Dec Bar graphs'!$B$9:$C$22,2,FALSE)</f>
        <v>159.03679830859687</v>
      </c>
      <c r="E10" s="12">
        <f>VLOOKUP($B10,'Jul-Mar Bar graphs'!$B$9:$C$22,2,FALSE)</f>
        <v>152.04601044489985</v>
      </c>
      <c r="F10" s="12" t="e">
        <f>VLOOKUP($B10,#REF!,2,FALSE)</f>
        <v>#REF!</v>
      </c>
      <c r="G10" s="4"/>
      <c r="R10" s="15"/>
      <c r="S10" s="15"/>
      <c r="T10" s="15"/>
    </row>
    <row r="11" spans="1:20" ht="12.75">
      <c r="A11" s="6" t="e">
        <f>CONCATENATE(#REF!," (",#REF!,")")</f>
        <v>#REF!</v>
      </c>
      <c r="B11" s="6" t="str">
        <f>'Jul-Mar'!C15</f>
        <v>Moranbah North</v>
      </c>
      <c r="C11" s="12">
        <f>VLOOKUP($B11,'Jul-Sep Bar graphs'!$B$9:$C$22,2,FALSE)</f>
        <v>144.67818878548525</v>
      </c>
      <c r="D11" s="12">
        <f>VLOOKUP($B11,'Jul-Dec Bar graphs'!$B$9:$C$22,2,FALSE)</f>
        <v>120.49188571792752</v>
      </c>
      <c r="E11" s="12">
        <f>VLOOKUP($B11,'Jul-Mar Bar graphs'!$B$9:$C$22,2,FALSE)</f>
        <v>128.41236333410555</v>
      </c>
      <c r="F11" s="12" t="e">
        <f>VLOOKUP($B11,#REF!,2,FALSE)</f>
        <v>#REF!</v>
      </c>
      <c r="G11" s="4"/>
      <c r="R11" s="15"/>
      <c r="S11" s="15"/>
      <c r="T11" s="15"/>
    </row>
    <row r="12" spans="1:20" ht="12.75">
      <c r="A12" s="6" t="e">
        <f>CONCATENATE(#REF!," (",#REF!,")")</f>
        <v>#REF!</v>
      </c>
      <c r="B12" s="6" t="str">
        <f>'Jul-Mar'!C19</f>
        <v>Oaky North Underground</v>
      </c>
      <c r="C12" s="12">
        <f>VLOOKUP($B12,'Jul-Sep Bar graphs'!$B$9:$C$22,2,FALSE)</f>
        <v>6.106292228827194</v>
      </c>
      <c r="D12" s="12">
        <f>VLOOKUP($B12,'Jul-Dec Bar graphs'!$B$9:$C$22,2,FALSE)</f>
        <v>14.01048334416227</v>
      </c>
      <c r="E12" s="12">
        <f>VLOOKUP($B12,'Jul-Mar Bar graphs'!$B$9:$C$22,2,FALSE)</f>
        <v>18.69508319312021</v>
      </c>
      <c r="F12" s="12" t="e">
        <f>VLOOKUP($B12,#REF!,2,FALSE)</f>
        <v>#REF!</v>
      </c>
      <c r="G12" s="4"/>
      <c r="R12" s="15"/>
      <c r="S12" s="15"/>
      <c r="T12" s="15"/>
    </row>
    <row r="13" spans="1:20" ht="12.75">
      <c r="A13" s="6" t="e">
        <f>CONCATENATE(#REF!," (",#REF!,")")</f>
        <v>#REF!</v>
      </c>
      <c r="B13" s="6" t="str">
        <f>'Jul-Mar'!C8</f>
        <v>Bundoora</v>
      </c>
      <c r="C13" s="12">
        <f>VLOOKUP($B13,'Jul-Sep Bar graphs'!$B$9:$C$22,2,FALSE)</f>
        <v>0</v>
      </c>
      <c r="D13" s="12">
        <f>VLOOKUP($B13,'Jul-Dec Bar graphs'!$B$9:$C$22,2,FALSE)</f>
        <v>0</v>
      </c>
      <c r="E13" s="12">
        <f>VLOOKUP($B13,'Jul-Mar Bar graphs'!$B$9:$C$22,2,FALSE)</f>
        <v>0</v>
      </c>
      <c r="F13" s="12" t="e">
        <f>VLOOKUP($B13,#REF!,2,FALSE)</f>
        <v>#REF!</v>
      </c>
      <c r="G13" s="4"/>
      <c r="R13" s="15"/>
      <c r="S13" s="15"/>
      <c r="T13" s="15"/>
    </row>
    <row r="14" spans="1:20" ht="12.75">
      <c r="A14" s="6" t="e">
        <f>CONCATENATE(#REF!," (",#REF!,")")</f>
        <v>#REF!</v>
      </c>
      <c r="B14" s="6" t="str">
        <f>'Jul-Mar'!C6</f>
        <v>Aquila</v>
      </c>
      <c r="C14" s="12">
        <f>VLOOKUP($B14,'Jul-Sep Bar graphs'!$B$9:$C$22,2,FALSE)</f>
        <v>88.98380494749956</v>
      </c>
      <c r="D14" s="12">
        <f>VLOOKUP($B14,'Jul-Dec Bar graphs'!$B$9:$C$22,2,FALSE)</f>
        <v>88.98380494749956</v>
      </c>
      <c r="E14" s="12">
        <f>VLOOKUP($B14,'Jul-Mar Bar graphs'!$B$9:$C$22,2,FALSE)</f>
        <v>11.484088794974562</v>
      </c>
      <c r="F14" s="12" t="e">
        <f>VLOOKUP($B14,#REF!,2,FALSE)</f>
        <v>#REF!</v>
      </c>
      <c r="G14" s="4"/>
      <c r="R14" s="15"/>
      <c r="S14" s="15"/>
      <c r="T14" s="15"/>
    </row>
    <row r="15" spans="1:20" ht="12.75">
      <c r="A15" s="6" t="e">
        <f>CONCATENATE(#REF!," (",#REF!,")")</f>
        <v>#REF!</v>
      </c>
      <c r="B15" s="6" t="str">
        <f>'Jul-Mar'!C17</f>
        <v>North Goonyella No. 1</v>
      </c>
      <c r="C15" s="12">
        <f>VLOOKUP($B15,'Jul-Sep Bar graphs'!$B$9:$C$22,2,FALSE)</f>
        <v>18.889879558127937</v>
      </c>
      <c r="D15" s="12">
        <f>VLOOKUP($B15,'Jul-Dec Bar graphs'!$B$9:$C$22,2,FALSE)</f>
        <v>29.20589180190617</v>
      </c>
      <c r="E15" s="12">
        <f>VLOOKUP($B15,'Jul-Mar Bar graphs'!$B$9:$C$22,2,FALSE)</f>
        <v>32.62008116359454</v>
      </c>
      <c r="F15" s="12" t="e">
        <f>VLOOKUP($B15,#REF!,2,FALSE)</f>
        <v>#REF!</v>
      </c>
      <c r="G15" s="4"/>
      <c r="R15" s="15"/>
      <c r="S15" s="15"/>
      <c r="T15" s="15"/>
    </row>
    <row r="16" spans="1:20" ht="12.75">
      <c r="A16" s="6" t="e">
        <f>CONCATENATE(#REF!," (",#REF!,")")</f>
        <v>#REF!</v>
      </c>
      <c r="B16" s="6" t="str">
        <f>'Jul-Mar'!C12</f>
        <v>Grasstree</v>
      </c>
      <c r="C16" s="12">
        <f>VLOOKUP($B16,'Jul-Sep Bar graphs'!$B$9:$C$22,2,FALSE)</f>
        <v>69.89438957734862</v>
      </c>
      <c r="D16" s="12">
        <f>VLOOKUP($B16,'Jul-Dec Bar graphs'!$B$9:$C$22,2,FALSE)</f>
        <v>30.57343535349006</v>
      </c>
      <c r="E16" s="12">
        <f>VLOOKUP($B16,'Jul-Mar Bar graphs'!$B$9:$C$22,2,FALSE)</f>
        <v>36.80754370608256</v>
      </c>
      <c r="F16" s="12" t="e">
        <f>VLOOKUP($B16,#REF!,2,FALSE)</f>
        <v>#REF!</v>
      </c>
      <c r="G16" s="4"/>
      <c r="R16" s="15"/>
      <c r="S16" s="15"/>
      <c r="T16" s="15"/>
    </row>
    <row r="17" spans="1:20" ht="12.75">
      <c r="A17" s="6" t="e">
        <f>CONCATENATE(#REF!," (",#REF!,")")</f>
        <v>#REF!</v>
      </c>
      <c r="B17" s="6" t="str">
        <f>'Jul-Mar'!C11</f>
        <v>Crinum</v>
      </c>
      <c r="C17" s="12">
        <f>VLOOKUP($B17,'Jul-Sep Bar graphs'!$B$9:$C$22,2,FALSE)</f>
        <v>31.98237415824168</v>
      </c>
      <c r="D17" s="12">
        <f>VLOOKUP($B17,'Jul-Dec Bar graphs'!$B$9:$C$22,2,FALSE)</f>
        <v>36.693208087183066</v>
      </c>
      <c r="E17" s="12">
        <f>VLOOKUP($B17,'Jul-Mar Bar graphs'!$B$9:$C$22,2,FALSE)</f>
        <v>27.180006387301503</v>
      </c>
      <c r="F17" s="12" t="e">
        <f>VLOOKUP($B17,#REF!,2,FALSE)</f>
        <v>#REF!</v>
      </c>
      <c r="G17" s="4"/>
      <c r="R17" s="15"/>
      <c r="S17" s="15"/>
      <c r="T17" s="15"/>
    </row>
    <row r="18" spans="1:20" ht="12.75">
      <c r="A18" s="6" t="e">
        <f>CONCATENATE(#REF!," (",#REF!,")")</f>
        <v>#REF!</v>
      </c>
      <c r="B18" s="6" t="str">
        <f>'Jul-Mar'!C16</f>
        <v>Newlands Northern Underground</v>
      </c>
      <c r="C18" s="12">
        <f>VLOOKUP($B18,'Jul-Sep Bar graphs'!$B$9:$C$22,2,FALSE)</f>
        <v>17.21155583859003</v>
      </c>
      <c r="D18" s="12">
        <f>VLOOKUP($B18,'Jul-Dec Bar graphs'!$B$9:$C$22,2,FALSE)</f>
        <v>24.621610611466508</v>
      </c>
      <c r="E18" s="12">
        <f>VLOOKUP($B18,'Jul-Mar Bar graphs'!$B$9:$C$22,2,FALSE)</f>
        <v>21.678117530082</v>
      </c>
      <c r="F18" s="12" t="e">
        <f>VLOOKUP($B18,#REF!,2,FALSE)</f>
        <v>#REF!</v>
      </c>
      <c r="G18" s="4"/>
      <c r="R18" s="15"/>
      <c r="S18" s="15"/>
      <c r="T18" s="15"/>
    </row>
    <row r="19" spans="1:20" ht="12.75">
      <c r="A19" s="6" t="e">
        <f>CONCATENATE(#REF!," (",#REF!,")")</f>
        <v>#REF!</v>
      </c>
      <c r="B19" s="6" t="str">
        <f>'Jul-Mar'!C9</f>
        <v>Carborough Downs (Includes Prep Plant)</v>
      </c>
      <c r="C19" s="12">
        <f>VLOOKUP($B19,'Jul-Sep Bar graphs'!$B$9:$C$22,2,FALSE)</f>
        <v>57.594148434519056</v>
      </c>
      <c r="D19" s="12">
        <f>VLOOKUP($B19,'Jul-Dec Bar graphs'!$B$9:$C$22,2,FALSE)</f>
        <v>49.95591390597797</v>
      </c>
      <c r="E19" s="12">
        <f>VLOOKUP($B19,'Jul-Mar Bar graphs'!$B$9:$C$22,2,FALSE)</f>
        <v>39.23771814833641</v>
      </c>
      <c r="F19" s="12" t="e">
        <f>VLOOKUP($B19,#REF!,2,FALSE)</f>
        <v>#REF!</v>
      </c>
      <c r="G19" s="4"/>
      <c r="R19" s="15"/>
      <c r="S19" s="15"/>
      <c r="T19" s="15"/>
    </row>
    <row r="20" spans="1:20" ht="12.75">
      <c r="A20" s="6" t="e">
        <f>CONCATENATE(#REF!," (",#REF!,")")</f>
        <v>#REF!</v>
      </c>
      <c r="B20" s="6" t="str">
        <f>'Jul-Mar'!C7</f>
        <v>Broadmeadow - G.E.Adit</v>
      </c>
      <c r="C20" s="12">
        <f>VLOOKUP($B20,'Jul-Sep Bar graphs'!$B$9:$C$22,2,FALSE)</f>
        <v>24.486697601527972</v>
      </c>
      <c r="D20" s="12">
        <f>VLOOKUP($B20,'Jul-Dec Bar graphs'!$B$9:$C$22,2,FALSE)</f>
        <v>17.65382439211262</v>
      </c>
      <c r="E20" s="12">
        <f>VLOOKUP($B20,'Jul-Mar Bar graphs'!$B$9:$C$22,2,FALSE)</f>
        <v>15.553776108219957</v>
      </c>
      <c r="F20" s="12" t="e">
        <f>VLOOKUP($B20,#REF!,2,FALSE)</f>
        <v>#REF!</v>
      </c>
      <c r="G20" s="4"/>
      <c r="R20" s="15"/>
      <c r="S20" s="15"/>
      <c r="T20" s="15"/>
    </row>
    <row r="21" spans="1:20" ht="12.75">
      <c r="A21" s="6" t="e">
        <f>CONCATENATE(#REF!," (",#REF!,")")</f>
        <v>#REF!</v>
      </c>
      <c r="B21" s="6" t="str">
        <f>'Jul-Mar'!C18</f>
        <v>Oaky Creek No. 1</v>
      </c>
      <c r="C21" s="12">
        <f>VLOOKUP($B21,'Jul-Sep Bar graphs'!$B$9:$C$22,2,FALSE)</f>
        <v>20.933640360058615</v>
      </c>
      <c r="D21" s="12">
        <f>VLOOKUP($B21,'Jul-Dec Bar graphs'!$B$9:$C$22,2,FALSE)</f>
        <v>9.624898457321276</v>
      </c>
      <c r="E21" s="12">
        <f>VLOOKUP($B21,'Jul-Mar Bar graphs'!$B$9:$C$22,2,FALSE)</f>
        <v>14.732295770480654</v>
      </c>
      <c r="F21" s="12" t="e">
        <f>VLOOKUP($B21,#REF!,2,FALSE)</f>
        <v>#REF!</v>
      </c>
      <c r="G21" s="4"/>
      <c r="R21" s="15"/>
      <c r="S21" s="15"/>
      <c r="T21" s="15"/>
    </row>
    <row r="22" spans="1:20" ht="12.75">
      <c r="A22" s="6" t="e">
        <f>CONCATENATE(#REF!," (",#REF!,")")</f>
        <v>#REF!</v>
      </c>
      <c r="B22" s="6" t="str">
        <f>'Jul-Mar'!C14</f>
        <v>Kestrel Mine Extension Project</v>
      </c>
      <c r="C22" s="12">
        <f>VLOOKUP($B22,'Jul-Sep Bar graphs'!$B$9:$C$22,2,FALSE)</f>
        <v>3.6126254032593104</v>
      </c>
      <c r="D22" s="12">
        <f>VLOOKUP($B22,'Jul-Dec Bar graphs'!$B$9:$C$22,2,FALSE)</f>
        <v>6.01803001793373</v>
      </c>
      <c r="E22" s="12">
        <f>VLOOKUP($B22,'Jul-Mar Bar graphs'!$B$9:$C$22,2,FALSE)</f>
        <v>9.038906034115415</v>
      </c>
      <c r="F22" s="12" t="e">
        <f>VLOOKUP($B22,#REF!,2,FALSE)</f>
        <v>#REF!</v>
      </c>
      <c r="R22" s="15"/>
      <c r="S22" s="15"/>
      <c r="T22" s="15"/>
    </row>
    <row r="23" spans="1:6" ht="12.75">
      <c r="A23" s="6" t="e">
        <f>CONCATENATE(#REF!," (",#REF!,")")</f>
        <v>#REF!</v>
      </c>
      <c r="B23" s="6" t="str">
        <f>'Jul-Mar'!C13</f>
        <v>Kestrel</v>
      </c>
      <c r="C23" s="12">
        <f>VLOOKUP($B23,'Jul-Sep Bar graphs'!$B$9:$C$22,2,FALSE)</f>
        <v>3.4457094026518185</v>
      </c>
      <c r="D23" s="12">
        <f>VLOOKUP($B23,'Jul-Dec Bar graphs'!$B$9:$C$22,2,FALSE)</f>
        <v>1.6008529344434717</v>
      </c>
      <c r="E23" s="12">
        <f>VLOOKUP($B23,'Jul-Mar Bar graphs'!$B$9:$C$22,2,FALSE)</f>
        <v>5.892908179651199</v>
      </c>
      <c r="F23" s="12" t="e">
        <f>VLOOKUP($B23,#REF!,2,FALSE)</f>
        <v>#REF!</v>
      </c>
    </row>
    <row r="24" spans="18:20" ht="12.75">
      <c r="R24" s="15"/>
      <c r="S24" s="15"/>
      <c r="T24" s="15"/>
    </row>
    <row r="25" spans="1:6" ht="12.75">
      <c r="A25" s="15"/>
      <c r="B25" s="15"/>
      <c r="C25" s="15"/>
      <c r="D25" s="15"/>
      <c r="E25" s="15"/>
      <c r="F25" s="15"/>
    </row>
    <row r="58" spans="3:21" ht="39">
      <c r="C58" s="46" t="s">
        <v>21</v>
      </c>
      <c r="D58" s="46" t="s">
        <v>21</v>
      </c>
      <c r="E58" s="46" t="s">
        <v>21</v>
      </c>
      <c r="F58" s="46" t="s">
        <v>21</v>
      </c>
      <c r="R58" s="2"/>
      <c r="S58" s="2"/>
      <c r="T58" s="2"/>
      <c r="U58" s="2"/>
    </row>
    <row r="59" spans="3:21" ht="12.75">
      <c r="C59" s="10" t="s">
        <v>69</v>
      </c>
      <c r="D59" s="10" t="s">
        <v>69</v>
      </c>
      <c r="E59" s="10" t="s">
        <v>69</v>
      </c>
      <c r="F59" s="10" t="s">
        <v>69</v>
      </c>
      <c r="R59" s="2"/>
      <c r="S59" s="2"/>
      <c r="T59" s="2"/>
      <c r="U59" s="2"/>
    </row>
    <row r="60" spans="1:21" ht="12.75">
      <c r="A60" s="2"/>
      <c r="B60" s="2"/>
      <c r="C60" s="10" t="s">
        <v>67</v>
      </c>
      <c r="D60" s="10" t="s">
        <v>65</v>
      </c>
      <c r="E60" s="10" t="s">
        <v>64</v>
      </c>
      <c r="F60" s="10" t="s">
        <v>66</v>
      </c>
      <c r="R60" s="2"/>
      <c r="S60" s="2"/>
      <c r="T60" s="2"/>
      <c r="U60" s="2"/>
    </row>
    <row r="61" spans="1:21" ht="12.75">
      <c r="A61" s="35" t="s">
        <v>10</v>
      </c>
      <c r="B61" s="35"/>
      <c r="C61" s="48">
        <f>'Jul-Sep Bar graphs'!C59</f>
        <v>0</v>
      </c>
      <c r="D61" s="48">
        <f>'Jul-Dec Bar graphs'!C59</f>
        <v>0</v>
      </c>
      <c r="E61" s="48">
        <f>'Jul-Mar Bar graphs'!$C$59</f>
        <v>0</v>
      </c>
      <c r="F61" s="48" t="e">
        <f>#REF!</f>
        <v>#REF!</v>
      </c>
      <c r="R61" s="2"/>
      <c r="S61" s="2"/>
      <c r="T61" s="2"/>
      <c r="U61" s="2"/>
    </row>
    <row r="62" spans="1:21" ht="12.75">
      <c r="A62" s="35" t="s">
        <v>62</v>
      </c>
      <c r="B62" s="35"/>
      <c r="C62" s="48">
        <f>'Jul-Sep Bar graphs'!C60</f>
        <v>0</v>
      </c>
      <c r="D62" s="48">
        <f>'Jul-Dec Bar graphs'!C60</f>
        <v>0</v>
      </c>
      <c r="E62" s="48">
        <f>'Jul-Mar Bar graphs'!$C$59</f>
        <v>0</v>
      </c>
      <c r="F62" s="48" t="e">
        <f>#REF!</f>
        <v>#REF!</v>
      </c>
      <c r="T62" s="2"/>
      <c r="U62" s="2"/>
    </row>
    <row r="63" spans="1:21" ht="12.75">
      <c r="A63" s="35" t="s">
        <v>63</v>
      </c>
      <c r="B63" s="35"/>
      <c r="C63" s="48">
        <f>'Jul-Sep Bar graphs'!C61</f>
        <v>343.4466975902928</v>
      </c>
      <c r="D63" s="48">
        <f>'Jul-Dec Bar graphs'!C61</f>
        <v>0</v>
      </c>
      <c r="E63" s="48">
        <f>'Jul-Mar Bar graphs'!$C$59</f>
        <v>0</v>
      </c>
      <c r="F63" s="48" t="e">
        <f>#REF!</f>
        <v>#REF!</v>
      </c>
      <c r="R63" s="1"/>
      <c r="S63" s="1"/>
      <c r="U63" s="3"/>
    </row>
    <row r="64" spans="1:21" ht="12.75">
      <c r="A64" s="6" t="e">
        <f>CONCATENATE(#REF!," (",#REF!,")")</f>
        <v>#REF!</v>
      </c>
      <c r="B64" s="6" t="str">
        <f>'Jul-Mar'!C8</f>
        <v>Bundoora</v>
      </c>
      <c r="C64" s="12">
        <f>VLOOKUP($B64,'Jul-Sep Bar graphs'!$B$62:$C$75,2,FALSE)</f>
        <v>0</v>
      </c>
      <c r="D64" s="12">
        <f>VLOOKUP($B64,'Jul-Dec Bar graphs'!$B$62:$C$75,2,FALSE)</f>
        <v>0</v>
      </c>
      <c r="E64" s="12">
        <f>VLOOKUP($B64,'Jul-Mar Bar graphs'!$B$62:$C$75,2,FALSE)</f>
        <v>0</v>
      </c>
      <c r="F64" s="12" t="e">
        <f>VLOOKUP($B64,#REF!,2,FALSE)</f>
        <v>#REF!</v>
      </c>
      <c r="R64" s="1"/>
      <c r="S64" s="1"/>
      <c r="U64" s="3"/>
    </row>
    <row r="65" spans="1:21" ht="12.75">
      <c r="A65" s="6" t="e">
        <f>CONCATENATE(#REF!," (",#REF!,")")</f>
        <v>#REF!</v>
      </c>
      <c r="B65" s="6" t="str">
        <f>'Jul-Mar'!C17</f>
        <v>North Goonyella No. 1</v>
      </c>
      <c r="C65" s="12">
        <f>VLOOKUP($B65,'Jul-Sep Bar graphs'!$B$62:$C$75,2,FALSE)</f>
        <v>94.4493977906397</v>
      </c>
      <c r="D65" s="12">
        <f>VLOOKUP($B65,'Jul-Dec Bar graphs'!$B$62:$C$75,2,FALSE)</f>
        <v>249.22361004293265</v>
      </c>
      <c r="E65" s="12">
        <f>VLOOKUP($B65,'Jul-Mar Bar graphs'!$B$62:$C$75,2,FALSE)</f>
        <v>485.67676399129647</v>
      </c>
      <c r="F65" s="12" t="e">
        <f>VLOOKUP($B65,#REF!,2,FALSE)</f>
        <v>#REF!</v>
      </c>
      <c r="R65" s="13"/>
      <c r="S65" s="13"/>
      <c r="U65" s="16"/>
    </row>
    <row r="66" spans="1:21" ht="12.75">
      <c r="A66" s="6" t="e">
        <f>CONCATENATE(#REF!," (",#REF!,")")</f>
        <v>#REF!</v>
      </c>
      <c r="B66" s="6" t="str">
        <f>'Jul-Mar'!C7</f>
        <v>Broadmeadow - G.E.Adit</v>
      </c>
      <c r="C66" s="12">
        <f>VLOOKUP($B66,'Jul-Sep Bar graphs'!$B$62:$C$75,2,FALSE)</f>
        <v>861.1155323204002</v>
      </c>
      <c r="D66" s="12">
        <f>VLOOKUP($B66,'Jul-Dec Bar graphs'!$B$62:$C$75,2,FALSE)</f>
        <v>544.6204824966744</v>
      </c>
      <c r="E66" s="12">
        <f>VLOOKUP($B66,'Jul-Mar Bar graphs'!$B$62:$C$75,2,FALSE)</f>
        <v>397.4257964203789</v>
      </c>
      <c r="F66" s="12" t="e">
        <f>VLOOKUP($B66,#REF!,2,FALSE)</f>
        <v>#REF!</v>
      </c>
      <c r="R66" s="8"/>
      <c r="S66" s="8"/>
      <c r="U66" s="16"/>
    </row>
    <row r="67" spans="1:19" ht="12.75">
      <c r="A67" s="6" t="e">
        <f>CONCATENATE(#REF!," (",#REF!,")")</f>
        <v>#REF!</v>
      </c>
      <c r="B67" s="6" t="str">
        <f>'Jul-Mar'!C11</f>
        <v>Crinum</v>
      </c>
      <c r="C67" s="12">
        <f>VLOOKUP($B67,'Jul-Sep Bar graphs'!$B$62:$C$75,2,FALSE)</f>
        <v>429.9852525719159</v>
      </c>
      <c r="D67" s="12">
        <f>VLOOKUP($B67,'Jul-Dec Bar graphs'!$B$62:$C$75,2,FALSE)</f>
        <v>693.6763624100798</v>
      </c>
      <c r="E67" s="12">
        <f>VLOOKUP($B67,'Jul-Mar Bar graphs'!$B$62:$C$75,2,FALSE)</f>
        <v>474.51761151163873</v>
      </c>
      <c r="F67" s="12" t="e">
        <f>VLOOKUP($B67,#REF!,2,FALSE)</f>
        <v>#REF!</v>
      </c>
      <c r="R67" s="13"/>
      <c r="S67" s="13"/>
    </row>
    <row r="68" spans="1:21" ht="12.75">
      <c r="A68" s="6" t="e">
        <f>CONCATENATE(#REF!," (",#REF!,")")</f>
        <v>#REF!</v>
      </c>
      <c r="B68" s="6" t="str">
        <f>'Jul-Mar'!C16</f>
        <v>Newlands Northern Underground</v>
      </c>
      <c r="C68" s="12">
        <f>VLOOKUP($B68,'Jul-Sep Bar graphs'!$B$62:$C$75,2,FALSE)</f>
        <v>370.0484505296856</v>
      </c>
      <c r="D68" s="12">
        <f>VLOOKUP($B68,'Jul-Dec Bar graphs'!$B$62:$C$75,2,FALSE)</f>
        <v>590.9186546751962</v>
      </c>
      <c r="E68" s="12">
        <f>VLOOKUP($B68,'Jul-Mar Bar graphs'!$B$62:$C$75,2,FALSE)</f>
        <v>507.2679502039189</v>
      </c>
      <c r="F68" s="12" t="e">
        <f>VLOOKUP($B68,#REF!,2,FALSE)</f>
        <v>#REF!</v>
      </c>
      <c r="R68" s="13"/>
      <c r="S68" s="13"/>
      <c r="U68" s="1"/>
    </row>
    <row r="69" spans="1:19" ht="12.75">
      <c r="A69" s="6" t="e">
        <f>CONCATENATE(#REF!," (",#REF!,")")</f>
        <v>#REF!</v>
      </c>
      <c r="B69" s="6" t="str">
        <f>'Jul-Mar'!C15</f>
        <v>Moranbah North</v>
      </c>
      <c r="C69" s="12">
        <f>VLOOKUP($B69,'Jul-Sep Bar graphs'!$B$62:$C$75,2,FALSE)</f>
        <v>641.2762962383671</v>
      </c>
      <c r="D69" s="12">
        <f>VLOOKUP($B69,'Jul-Dec Bar graphs'!$B$62:$C$75,2,FALSE)</f>
        <v>581.5476137129724</v>
      </c>
      <c r="E69" s="12">
        <f>VLOOKUP($B69,'Jul-Mar Bar graphs'!$B$62:$C$75,2,FALSE)</f>
        <v>642.9294677741366</v>
      </c>
      <c r="F69" s="12" t="e">
        <f>VLOOKUP($B69,#REF!,2,FALSE)</f>
        <v>#REF!</v>
      </c>
      <c r="R69" s="13"/>
      <c r="S69" s="13"/>
    </row>
    <row r="70" spans="1:21" ht="12.75">
      <c r="A70" s="6" t="e">
        <f>CONCATENATE(#REF!," (",#REF!,")")</f>
        <v>#REF!</v>
      </c>
      <c r="B70" s="6" t="str">
        <f>'Jul-Mar'!C9</f>
        <v>Carborough Downs (Includes Prep Plant)</v>
      </c>
      <c r="C70" s="12">
        <f>VLOOKUP($B70,'Jul-Sep Bar graphs'!$B$62:$C$75,2,FALSE)</f>
        <v>539.9451415736161</v>
      </c>
      <c r="D70" s="12">
        <f>VLOOKUP($B70,'Jul-Dec Bar graphs'!$B$62:$C$75,2,FALSE)</f>
        <v>669.4092463401048</v>
      </c>
      <c r="E70" s="12">
        <f>VLOOKUP($B70,'Jul-Mar Bar graphs'!$B$62:$C$75,2,FALSE)</f>
        <v>490.47147685420515</v>
      </c>
      <c r="F70" s="12" t="e">
        <f>VLOOKUP($B70,#REF!,2,FALSE)</f>
        <v>#REF!</v>
      </c>
      <c r="R70" s="13"/>
      <c r="S70" s="13"/>
      <c r="U70" s="18"/>
    </row>
    <row r="71" spans="1:21" ht="12.75">
      <c r="A71" s="6" t="e">
        <f>CONCATENATE(#REF!," (",#REF!,")")</f>
        <v>#REF!</v>
      </c>
      <c r="B71" s="6" t="str">
        <f>'Jul-Mar'!C12</f>
        <v>Grasstree</v>
      </c>
      <c r="C71" s="12">
        <f>VLOOKUP($B71,'Jul-Sep Bar graphs'!$B$62:$C$75,2,FALSE)</f>
        <v>174.73597394337156</v>
      </c>
      <c r="D71" s="12">
        <f>VLOOKUP($B71,'Jul-Dec Bar graphs'!$B$62:$C$75,2,FALSE)</f>
        <v>116.17905434326222</v>
      </c>
      <c r="E71" s="12">
        <f>VLOOKUP($B71,'Jul-Mar Bar graphs'!$B$62:$C$75,2,FALSE)</f>
        <v>361.17402261593514</v>
      </c>
      <c r="F71" s="12" t="e">
        <f>VLOOKUP($B71,#REF!,2,FALSE)</f>
        <v>#REF!</v>
      </c>
      <c r="R71" s="13"/>
      <c r="S71" s="13"/>
      <c r="U71" s="19"/>
    </row>
    <row r="72" spans="1:21" ht="12.75">
      <c r="A72" s="6" t="e">
        <f>CONCATENATE(#REF!," (",#REF!,")")</f>
        <v>#REF!</v>
      </c>
      <c r="B72" s="6" t="str">
        <f>'Jul-Mar'!C6</f>
        <v>Aquila</v>
      </c>
      <c r="C72" s="12">
        <f>VLOOKUP($B72,'Jul-Sep Bar graphs'!$B$62:$C$75,2,FALSE)</f>
        <v>1156.7894643174943</v>
      </c>
      <c r="D72" s="12">
        <f>VLOOKUP($B72,'Jul-Dec Bar graphs'!$B$62:$C$75,2,FALSE)</f>
        <v>1156.7894643174943</v>
      </c>
      <c r="E72" s="12">
        <f>VLOOKUP($B72,'Jul-Mar Bar graphs'!$B$62:$C$75,2,FALSE)</f>
        <v>149.2931543346693</v>
      </c>
      <c r="F72" s="12" t="e">
        <f>VLOOKUP($B72,#REF!,2,FALSE)</f>
        <v>#REF!</v>
      </c>
      <c r="R72" s="13"/>
      <c r="S72" s="13"/>
      <c r="U72" s="19"/>
    </row>
    <row r="73" spans="1:21" ht="12.75">
      <c r="A73" s="6" t="e">
        <f>CONCATENATE(#REF!," (",#REF!,")")</f>
        <v>#REF!</v>
      </c>
      <c r="B73" s="6" t="str">
        <f>'Jul-Mar'!C10</f>
        <v>Cook</v>
      </c>
      <c r="C73" s="12">
        <f>VLOOKUP($B73,'Jul-Sep Bar graphs'!$B$62:$C$75,2,FALSE)</f>
        <v>151.2269279443485</v>
      </c>
      <c r="D73" s="12">
        <f>VLOOKUP($B73,'Jul-Dec Bar graphs'!$B$62:$C$75,2,FALSE)</f>
        <v>159.03679830859687</v>
      </c>
      <c r="E73" s="12">
        <f>VLOOKUP($B73,'Jul-Mar Bar graphs'!$B$62:$C$75,2,FALSE)</f>
        <v>191.71018708269983</v>
      </c>
      <c r="F73" s="12" t="e">
        <f>VLOOKUP($B73,#REF!,2,FALSE)</f>
        <v>#REF!</v>
      </c>
      <c r="R73" s="13"/>
      <c r="S73" s="13"/>
      <c r="U73" s="19"/>
    </row>
    <row r="74" spans="1:21" ht="12.75">
      <c r="A74" s="6" t="e">
        <f>CONCATENATE(#REF!," (",#REF!,")")</f>
        <v>#REF!</v>
      </c>
      <c r="B74" s="6" t="str">
        <f>'Jul-Mar'!C14</f>
        <v>Kestrel Mine Extension Project</v>
      </c>
      <c r="C74" s="12">
        <f>VLOOKUP($B74,'Jul-Sep Bar graphs'!$B$62:$C$75,2,FALSE)</f>
        <v>0</v>
      </c>
      <c r="D74" s="12">
        <f>VLOOKUP($B74,'Jul-Dec Bar graphs'!$B$62:$C$75,2,FALSE)</f>
        <v>18.05409005380119</v>
      </c>
      <c r="E74" s="12">
        <f>VLOOKUP($B74,'Jul-Mar Bar graphs'!$B$62:$C$75,2,FALSE)</f>
        <v>24.53417352117041</v>
      </c>
      <c r="F74" s="12" t="e">
        <f>VLOOKUP($B74,#REF!,2,FALSE)</f>
        <v>#REF!</v>
      </c>
      <c r="R74" s="13"/>
      <c r="S74" s="13"/>
      <c r="U74" s="19"/>
    </row>
    <row r="75" spans="1:21" ht="12.75">
      <c r="A75" s="6" t="e">
        <f>CONCATENATE(#REF!," (",#REF!,")")</f>
        <v>#REF!</v>
      </c>
      <c r="B75" s="6" t="str">
        <f>'Jul-Mar'!C18</f>
        <v>Oaky Creek No. 1</v>
      </c>
      <c r="C75" s="12">
        <f>VLOOKUP($B75,'Jul-Sep Bar graphs'!$B$62:$C$75,2,FALSE)</f>
        <v>20.933640360058615</v>
      </c>
      <c r="D75" s="12">
        <f>VLOOKUP($B75,'Jul-Dec Bar graphs'!$B$62:$C$75,2,FALSE)</f>
        <v>9.624898457321276</v>
      </c>
      <c r="E75" s="12">
        <f>VLOOKUP($B75,'Jul-Mar Bar graphs'!$B$62:$C$75,2,FALSE)</f>
        <v>18.41536971310082</v>
      </c>
      <c r="F75" s="12" t="e">
        <f>VLOOKUP($B75,#REF!,2,FALSE)</f>
        <v>#REF!</v>
      </c>
      <c r="R75" s="13"/>
      <c r="S75" s="13"/>
      <c r="U75" s="20"/>
    </row>
    <row r="76" spans="1:21" ht="12.75">
      <c r="A76" s="6" t="e">
        <f>CONCATENATE(#REF!," (",#REF!,")")</f>
        <v>#REF!</v>
      </c>
      <c r="B76" s="6" t="str">
        <f>'Jul-Mar'!C19</f>
        <v>Oaky North Underground</v>
      </c>
      <c r="C76" s="12">
        <f>VLOOKUP($B76,'Jul-Sep Bar graphs'!$B$62:$C$75,2,FALSE)</f>
        <v>0</v>
      </c>
      <c r="D76" s="12">
        <f>VLOOKUP($B76,'Jul-Dec Bar graphs'!$B$62:$C$75,2,FALSE)</f>
        <v>0</v>
      </c>
      <c r="E76" s="12">
        <f>VLOOKUP($B76,'Jul-Mar Bar graphs'!$B$62:$C$75,2,FALSE)</f>
        <v>0</v>
      </c>
      <c r="F76" s="12" t="e">
        <f>VLOOKUP($B76,#REF!,2,FALSE)</f>
        <v>#REF!</v>
      </c>
      <c r="R76" s="13"/>
      <c r="S76" s="13"/>
      <c r="U76" s="17"/>
    </row>
    <row r="77" spans="1:20" ht="12.75">
      <c r="A77" s="6" t="e">
        <f>CONCATENATE(#REF!," (",#REF!,")")</f>
        <v>#REF!</v>
      </c>
      <c r="B77" s="6" t="str">
        <f>'Jul-Mar'!C13</f>
        <v>Kestrel</v>
      </c>
      <c r="C77" s="12">
        <f>VLOOKUP($B77,'Jul-Sep Bar graphs'!$B$62:$C$75,2,FALSE)</f>
        <v>0</v>
      </c>
      <c r="D77" s="12">
        <f>VLOOKUP($B77,'Jul-Dec Bar graphs'!$B$62:$C$75,2,FALSE)</f>
        <v>0</v>
      </c>
      <c r="E77" s="12">
        <f>VLOOKUP($B77,'Jul-Mar Bar graphs'!$B$62:$C$75,2,FALSE)</f>
        <v>24.553784081879996</v>
      </c>
      <c r="F77" s="12" t="e">
        <f>VLOOKUP($B77,#REF!,2,FALSE)</f>
        <v>#REF!</v>
      </c>
      <c r="R77" s="13"/>
      <c r="S77" s="13"/>
      <c r="T77" s="13"/>
    </row>
    <row r="78" spans="1:20" ht="12.75">
      <c r="A78" s="6"/>
      <c r="B78" s="6"/>
      <c r="C78" s="6"/>
      <c r="D78" s="47"/>
      <c r="E78" s="47"/>
      <c r="F78" s="47"/>
      <c r="R78" s="13"/>
      <c r="S78" s="13"/>
      <c r="T78" s="13"/>
    </row>
    <row r="79" spans="1:21" ht="12.75">
      <c r="A79" s="13"/>
      <c r="B79" s="13"/>
      <c r="C79" s="13"/>
      <c r="D79" s="13"/>
      <c r="E79" s="9"/>
      <c r="R79" s="13"/>
      <c r="S79" s="13"/>
      <c r="T79" s="13"/>
      <c r="U79" s="13"/>
    </row>
    <row r="80" spans="1:5" ht="12.75">
      <c r="A80" s="13"/>
      <c r="B80" s="13"/>
      <c r="C80" s="13"/>
      <c r="D80" s="13"/>
      <c r="E80" s="9"/>
    </row>
    <row r="81" spans="1:4" ht="12.75">
      <c r="A81" s="13"/>
      <c r="B81" s="13"/>
      <c r="C81" s="13"/>
      <c r="D81" s="13"/>
    </row>
    <row r="82" spans="18:21" ht="12.75">
      <c r="R82" s="13"/>
      <c r="S82" s="13"/>
      <c r="T82" s="13"/>
      <c r="U82" s="13"/>
    </row>
    <row r="84" spans="1:3" ht="12.75">
      <c r="A84" s="13"/>
      <c r="B84" s="13"/>
      <c r="C84" s="13"/>
    </row>
    <row r="113" spans="18:20" ht="12.75">
      <c r="R113" s="2"/>
      <c r="S113" s="2"/>
      <c r="T113" s="3"/>
    </row>
    <row r="114" spans="18:20" ht="12.75">
      <c r="R114" s="11"/>
      <c r="S114" s="11"/>
      <c r="T114" s="3"/>
    </row>
    <row r="115" spans="18:20" ht="12.75">
      <c r="R115" s="12"/>
      <c r="S115" s="12"/>
      <c r="T115" s="16"/>
    </row>
    <row r="116" spans="3:20" ht="39">
      <c r="C116" s="46" t="s">
        <v>22</v>
      </c>
      <c r="D116" s="46" t="s">
        <v>22</v>
      </c>
      <c r="E116" s="46" t="s">
        <v>22</v>
      </c>
      <c r="F116" s="46" t="s">
        <v>22</v>
      </c>
      <c r="R116" s="12"/>
      <c r="S116" s="12"/>
      <c r="T116" s="16"/>
    </row>
    <row r="117" spans="3:20" ht="12.75">
      <c r="C117" s="10" t="s">
        <v>69</v>
      </c>
      <c r="D117" s="10" t="s">
        <v>69</v>
      </c>
      <c r="E117" s="10" t="s">
        <v>69</v>
      </c>
      <c r="F117" s="10" t="s">
        <v>69</v>
      </c>
      <c r="R117" s="12"/>
      <c r="S117" s="12"/>
      <c r="T117" s="16"/>
    </row>
    <row r="118" spans="3:19" ht="12.75">
      <c r="C118" s="10" t="s">
        <v>67</v>
      </c>
      <c r="D118" s="10" t="s">
        <v>65</v>
      </c>
      <c r="E118" s="10" t="s">
        <v>64</v>
      </c>
      <c r="F118" s="10" t="s">
        <v>66</v>
      </c>
      <c r="R118" s="1"/>
      <c r="S118" s="1"/>
    </row>
    <row r="119" spans="1:20" ht="12.75">
      <c r="A119" s="35" t="s">
        <v>10</v>
      </c>
      <c r="B119" s="35"/>
      <c r="C119" s="48">
        <f>'Jul-Sep Bar graphs'!C116</f>
        <v>0</v>
      </c>
      <c r="D119" s="48">
        <f>'Jul-Dec Bar graphs'!C116</f>
        <v>0</v>
      </c>
      <c r="E119" s="48">
        <f>'Jul-Mar Bar graphs'!$C$116</f>
        <v>0</v>
      </c>
      <c r="F119" s="48" t="e">
        <f>#REF!</f>
        <v>#REF!</v>
      </c>
      <c r="R119" s="13"/>
      <c r="S119" s="13"/>
      <c r="T119" s="1"/>
    </row>
    <row r="120" spans="1:19" ht="12.75">
      <c r="A120" s="35" t="s">
        <v>62</v>
      </c>
      <c r="B120" s="35"/>
      <c r="C120" s="48">
        <f>'Jul-Sep Bar graphs'!C117</f>
        <v>0</v>
      </c>
      <c r="D120" s="48">
        <f>'Jul-Dec Bar graphs'!C117</f>
        <v>0</v>
      </c>
      <c r="E120" s="48">
        <f>'Jul-Mar Bar graphs'!$C$116</f>
        <v>0</v>
      </c>
      <c r="F120" s="48" t="e">
        <f>#REF!</f>
        <v>#REF!</v>
      </c>
      <c r="R120" s="13"/>
      <c r="S120" s="13"/>
    </row>
    <row r="121" spans="1:19" ht="12.75">
      <c r="A121" s="35" t="s">
        <v>63</v>
      </c>
      <c r="B121" s="35"/>
      <c r="C121" s="48">
        <f>'Jul-Sep Bar graphs'!C118</f>
        <v>15.92</v>
      </c>
      <c r="D121" s="48">
        <f>'Jul-Dec Bar graphs'!C118</f>
        <v>0</v>
      </c>
      <c r="E121" s="48">
        <f>'Jul-Mar Bar graphs'!$C$116</f>
        <v>0</v>
      </c>
      <c r="F121" s="48" t="e">
        <f>#REF!</f>
        <v>#REF!</v>
      </c>
      <c r="R121" s="13"/>
      <c r="S121" s="13"/>
    </row>
    <row r="122" spans="1:20" ht="12.75">
      <c r="A122" s="6" t="e">
        <f>CONCATENATE(#REF!," (",#REF!,")")</f>
        <v>#REF!</v>
      </c>
      <c r="B122" s="6" t="str">
        <f>'Jul-Mar'!C8</f>
        <v>Bundoora</v>
      </c>
      <c r="C122" s="12">
        <f>VLOOKUP($B122,'Jul-Sep Bar graphs'!$B$119:$C$132,2,FALSE)</f>
        <v>0</v>
      </c>
      <c r="D122" s="12">
        <f>VLOOKUP($B122,'Jul-Dec Bar graphs'!$B$119:$C$132,2,FALSE)</f>
        <v>0</v>
      </c>
      <c r="E122" s="12">
        <f>VLOOKUP($B122,'Jul-Mar Bar graphs'!$B$119:$C$132,2,FALSE)</f>
        <v>0</v>
      </c>
      <c r="F122" s="12" t="e">
        <f>VLOOKUP($B122,#REF!,2,FALSE)</f>
        <v>#REF!</v>
      </c>
      <c r="R122" s="15"/>
      <c r="S122" s="15"/>
      <c r="T122" s="17"/>
    </row>
    <row r="123" spans="1:20" ht="12.75">
      <c r="A123" s="6" t="e">
        <f>CONCATENATE(#REF!," (",#REF!,")")</f>
        <v>#REF!</v>
      </c>
      <c r="B123" s="6" t="str">
        <f>'Jul-Mar'!C7</f>
        <v>Broadmeadow - G.E.Adit</v>
      </c>
      <c r="C123" s="12">
        <f>VLOOKUP($B123,'Jul-Sep Bar graphs'!$B$119:$C$132,2,FALSE)</f>
        <v>38.36363636363637</v>
      </c>
      <c r="D123" s="12">
        <f>VLOOKUP($B123,'Jul-Dec Bar graphs'!$B$119:$C$132,2,FALSE)</f>
        <v>32.473684210526315</v>
      </c>
      <c r="E123" s="12">
        <f>VLOOKUP($B123,'Jul-Mar Bar graphs'!$B$119:$C$132,2,FALSE)</f>
        <v>27.444444444444443</v>
      </c>
      <c r="F123" s="12" t="e">
        <f>VLOOKUP($B123,#REF!,2,FALSE)</f>
        <v>#REF!</v>
      </c>
      <c r="G123" s="15"/>
      <c r="R123" s="15"/>
      <c r="S123" s="15"/>
      <c r="T123" s="18"/>
    </row>
    <row r="124" spans="1:20" ht="12.75">
      <c r="A124" s="6" t="e">
        <f>CONCATENATE(#REF!," (",#REF!,")")</f>
        <v>#REF!</v>
      </c>
      <c r="B124" s="6" t="str">
        <f>'Jul-Mar'!C17</f>
        <v>North Goonyella No. 1</v>
      </c>
      <c r="C124" s="12">
        <f>VLOOKUP($B124,'Jul-Sep Bar graphs'!$B$119:$C$132,2,FALSE)</f>
        <v>5</v>
      </c>
      <c r="D124" s="12">
        <f>VLOOKUP($B124,'Jul-Dec Bar graphs'!$B$119:$C$132,2,FALSE)</f>
        <v>9.846153846153847</v>
      </c>
      <c r="E124" s="12">
        <f>VLOOKUP($B124,'Jul-Mar Bar graphs'!$B$119:$C$132,2,FALSE)</f>
        <v>17.47826086956522</v>
      </c>
      <c r="F124" s="12" t="e">
        <f>VLOOKUP($B124,#REF!,2,FALSE)</f>
        <v>#REF!</v>
      </c>
      <c r="G124" s="15"/>
      <c r="R124" s="15"/>
      <c r="S124" s="15"/>
      <c r="T124" s="19"/>
    </row>
    <row r="125" spans="1:20" ht="12.75">
      <c r="A125" s="6" t="e">
        <f>CONCATENATE(#REF!," (",#REF!,")")</f>
        <v>#REF!</v>
      </c>
      <c r="B125" s="6" t="str">
        <f>'Jul-Mar'!C16</f>
        <v>Newlands Northern Underground</v>
      </c>
      <c r="C125" s="12">
        <f>VLOOKUP($B125,'Jul-Sep Bar graphs'!$B$119:$C$132,2,FALSE)</f>
        <v>28.666666666666668</v>
      </c>
      <c r="D125" s="12">
        <f>VLOOKUP($B125,'Jul-Dec Bar graphs'!$B$119:$C$132,2,FALSE)</f>
        <v>29.333333333333332</v>
      </c>
      <c r="E125" s="12">
        <f>VLOOKUP($B125,'Jul-Mar Bar graphs'!$B$119:$C$132,2,FALSE)</f>
        <v>27</v>
      </c>
      <c r="F125" s="12" t="e">
        <f>VLOOKUP($B125,#REF!,2,FALSE)</f>
        <v>#REF!</v>
      </c>
      <c r="R125" s="13"/>
      <c r="S125" s="13"/>
      <c r="T125" s="19"/>
    </row>
    <row r="126" spans="1:20" ht="12.75">
      <c r="A126" s="6" t="e">
        <f>CONCATENATE(#REF!," (",#REF!,")")</f>
        <v>#REF!</v>
      </c>
      <c r="B126" s="6" t="str">
        <f>'Jul-Mar'!C12</f>
        <v>Grasstree</v>
      </c>
      <c r="C126" s="12">
        <f>VLOOKUP($B126,'Jul-Sep Bar graphs'!$B$119:$C$132,2,FALSE)</f>
        <v>5</v>
      </c>
      <c r="D126" s="12">
        <f>VLOOKUP($B126,'Jul-Dec Bar graphs'!$B$119:$C$132,2,FALSE)</f>
        <v>5.7</v>
      </c>
      <c r="E126" s="12">
        <f>VLOOKUP($B126,'Jul-Mar Bar graphs'!$B$119:$C$132,2,FALSE)</f>
        <v>12.56</v>
      </c>
      <c r="F126" s="12" t="e">
        <f>VLOOKUP($B126,#REF!,2,FALSE)</f>
        <v>#REF!</v>
      </c>
      <c r="R126" s="15"/>
      <c r="S126" s="15"/>
      <c r="T126" s="19"/>
    </row>
    <row r="127" spans="1:20" ht="12.75">
      <c r="A127" s="6" t="e">
        <f>CONCATENATE(#REF!," (",#REF!,")")</f>
        <v>#REF!</v>
      </c>
      <c r="B127" s="6" t="str">
        <f>'Jul-Mar'!C11</f>
        <v>Crinum</v>
      </c>
      <c r="C127" s="12">
        <f>VLOOKUP($B127,'Jul-Sep Bar graphs'!$B$119:$C$132,2,FALSE)</f>
        <v>20.166666666666668</v>
      </c>
      <c r="D127" s="12">
        <f>VLOOKUP($B127,'Jul-Dec Bar graphs'!$B$119:$C$132,2,FALSE)</f>
        <v>28.357142857142858</v>
      </c>
      <c r="E127" s="12">
        <f>VLOOKUP($B127,'Jul-Mar Bar graphs'!$B$119:$C$132,2,FALSE)</f>
        <v>24.647058823529413</v>
      </c>
      <c r="F127" s="12" t="e">
        <f>VLOOKUP($B127,#REF!,2,FALSE)</f>
        <v>#REF!</v>
      </c>
      <c r="R127" s="15"/>
      <c r="S127" s="15"/>
      <c r="T127" s="19"/>
    </row>
    <row r="128" spans="1:20" ht="12.75">
      <c r="A128" s="6" t="e">
        <f>CONCATENATE(#REF!," (",#REF!,")")</f>
        <v>#REF!</v>
      </c>
      <c r="B128" s="6" t="str">
        <f>'Jul-Mar'!C15</f>
        <v>Moranbah North</v>
      </c>
      <c r="C128" s="12">
        <f>VLOOKUP($B128,'Jul-Sep Bar graphs'!$B$119:$C$132,2,FALSE)</f>
        <v>14.26086956521739</v>
      </c>
      <c r="D128" s="12">
        <f>VLOOKUP($B128,'Jul-Dec Bar graphs'!$B$119:$C$132,2,FALSE)</f>
        <v>13.904761904761905</v>
      </c>
      <c r="E128" s="12">
        <f>VLOOKUP($B128,'Jul-Mar Bar graphs'!$B$119:$C$132,2,FALSE)</f>
        <v>15.76595744680851</v>
      </c>
      <c r="F128" s="12" t="e">
        <f>VLOOKUP($B128,#REF!,2,FALSE)</f>
        <v>#REF!</v>
      </c>
      <c r="S128" s="13"/>
      <c r="T128" s="20"/>
    </row>
    <row r="129" spans="1:20" ht="12.75">
      <c r="A129" s="6" t="e">
        <f>CONCATENATE(#REF!," (",#REF!,")")</f>
        <v>#REF!</v>
      </c>
      <c r="B129" s="6" t="str">
        <f>'Jul-Mar'!C10</f>
        <v>Cook</v>
      </c>
      <c r="C129" s="12">
        <f>VLOOKUP($B129,'Jul-Sep Bar graphs'!$B$119:$C$132,2,FALSE)</f>
        <v>9.5</v>
      </c>
      <c r="D129" s="12">
        <f>VLOOKUP($B129,'Jul-Dec Bar graphs'!$B$119:$C$132,2,FALSE)</f>
        <v>8.5</v>
      </c>
      <c r="E129" s="12">
        <f>VLOOKUP($B129,'Jul-Mar Bar graphs'!$B$119:$C$132,2,FALSE)</f>
        <v>8.285714285714286</v>
      </c>
      <c r="F129" s="12" t="e">
        <f>VLOOKUP($B129,#REF!,2,FALSE)</f>
        <v>#REF!</v>
      </c>
      <c r="R129" s="13"/>
      <c r="S129" s="13"/>
      <c r="T129" s="17"/>
    </row>
    <row r="130" spans="1:20" ht="12.75">
      <c r="A130" s="6" t="e">
        <f>CONCATENATE(#REF!," (",#REF!,")")</f>
        <v>#REF!</v>
      </c>
      <c r="B130" s="6" t="str">
        <f>'Jul-Mar'!C9</f>
        <v>Carborough Downs (Includes Prep Plant)</v>
      </c>
      <c r="C130" s="12">
        <f>VLOOKUP($B130,'Jul-Sep Bar graphs'!$B$119:$C$132,2,FALSE)</f>
        <v>9.375</v>
      </c>
      <c r="D130" s="12">
        <f>VLOOKUP($B130,'Jul-Dec Bar graphs'!$B$119:$C$132,2,FALSE)</f>
        <v>13.4</v>
      </c>
      <c r="E130" s="12">
        <f>VLOOKUP($B130,'Jul-Mar Bar graphs'!$B$119:$C$132,2,FALSE)</f>
        <v>13.095238095238095</v>
      </c>
      <c r="F130" s="12" t="e">
        <f>VLOOKUP($B130,#REF!,2,FALSE)</f>
        <v>#REF!</v>
      </c>
      <c r="R130" s="15"/>
      <c r="S130" s="15"/>
      <c r="T130" s="15"/>
    </row>
    <row r="131" spans="1:20" ht="12.75">
      <c r="A131" s="6" t="e">
        <f>CONCATENATE(#REF!," (",#REF!,")")</f>
        <v>#REF!</v>
      </c>
      <c r="B131" s="6" t="str">
        <f>'Jul-Mar'!C19</f>
        <v>Oaky North Underground</v>
      </c>
      <c r="C131" s="12">
        <f>VLOOKUP($B131,'Jul-Sep Bar graphs'!$B$119:$C$132,2,FALSE)</f>
        <v>0</v>
      </c>
      <c r="D131" s="12">
        <f>VLOOKUP($B131,'Jul-Dec Bar graphs'!$B$119:$C$132,2,FALSE)</f>
        <v>0</v>
      </c>
      <c r="E131" s="12">
        <f>VLOOKUP($B131,'Jul-Mar Bar graphs'!$B$119:$C$132,2,FALSE)</f>
        <v>0</v>
      </c>
      <c r="F131" s="12" t="e">
        <f>VLOOKUP($B131,#REF!,2,FALSE)</f>
        <v>#REF!</v>
      </c>
      <c r="R131" s="15"/>
      <c r="S131" s="15"/>
      <c r="T131" s="15"/>
    </row>
    <row r="132" spans="1:6" ht="12.75">
      <c r="A132" s="6" t="e">
        <f>CONCATENATE(#REF!," (",#REF!,")")</f>
        <v>#REF!</v>
      </c>
      <c r="B132" s="6" t="str">
        <f>'Jul-Mar'!C14</f>
        <v>Kestrel Mine Extension Project</v>
      </c>
      <c r="C132" s="12">
        <f>VLOOKUP($B132,'Jul-Sep Bar graphs'!$B$119:$C$132,2,FALSE)</f>
        <v>0</v>
      </c>
      <c r="D132" s="12">
        <f>VLOOKUP($B132,'Jul-Dec Bar graphs'!$B$119:$C$132,2,FALSE)</f>
        <v>4.5</v>
      </c>
      <c r="E132" s="12">
        <f>VLOOKUP($B132,'Jul-Mar Bar graphs'!$B$119:$C$132,2,FALSE)</f>
        <v>3.8</v>
      </c>
      <c r="F132" s="12" t="e">
        <f>VLOOKUP($B132,#REF!,2,FALSE)</f>
        <v>#REF!</v>
      </c>
    </row>
    <row r="133" spans="1:6" ht="12.75">
      <c r="A133" s="6" t="e">
        <f>CONCATENATE(#REF!," (",#REF!,")")</f>
        <v>#REF!</v>
      </c>
      <c r="B133" s="6" t="str">
        <f>'Jul-Mar'!C18</f>
        <v>Oaky Creek No. 1</v>
      </c>
      <c r="C133" s="12">
        <f>VLOOKUP($B133,'Jul-Sep Bar graphs'!$B$119:$C$132,2,FALSE)</f>
        <v>2.5</v>
      </c>
      <c r="D133" s="12">
        <f>VLOOKUP($B133,'Jul-Dec Bar graphs'!$B$119:$C$132,2,FALSE)</f>
        <v>2.5</v>
      </c>
      <c r="E133" s="12">
        <f>VLOOKUP($B133,'Jul-Mar Bar graphs'!$B$119:$C$132,2,FALSE)</f>
        <v>5</v>
      </c>
      <c r="F133" s="12" t="e">
        <f>VLOOKUP($B133,#REF!,2,FALSE)</f>
        <v>#REF!</v>
      </c>
    </row>
    <row r="134" spans="1:20" ht="12.75">
      <c r="A134" s="6" t="e">
        <f>CONCATENATE(#REF!," (",#REF!,")")</f>
        <v>#REF!</v>
      </c>
      <c r="B134" s="6" t="str">
        <f>'Jul-Mar'!C6</f>
        <v>Aquila</v>
      </c>
      <c r="C134" s="12">
        <f>VLOOKUP($B134,'Jul-Sep Bar graphs'!$B$119:$C$132,2,FALSE)</f>
        <v>13</v>
      </c>
      <c r="D134" s="12">
        <f>VLOOKUP($B134,'Jul-Dec Bar graphs'!$B$119:$C$132,2,FALSE)</f>
        <v>13</v>
      </c>
      <c r="E134" s="12">
        <f>VLOOKUP($B134,'Jul-Mar Bar graphs'!$B$119:$C$132,2,FALSE)</f>
        <v>13</v>
      </c>
      <c r="F134" s="12" t="e">
        <f>VLOOKUP($B134,#REF!,2,FALSE)</f>
        <v>#REF!</v>
      </c>
      <c r="R134" s="15"/>
      <c r="S134" s="15"/>
      <c r="T134" s="15"/>
    </row>
    <row r="135" spans="1:6" ht="12.75">
      <c r="A135" s="6" t="e">
        <f>CONCATENATE(#REF!," (",#REF!,")")</f>
        <v>#REF!</v>
      </c>
      <c r="B135" s="6" t="str">
        <f>'Jul-Mar'!C13</f>
        <v>Kestrel</v>
      </c>
      <c r="C135" s="12">
        <f>VLOOKUP($B135,'Jul-Sep Bar graphs'!$B$119:$C$132,2,FALSE)</f>
        <v>0</v>
      </c>
      <c r="D135" s="12">
        <f>VLOOKUP($B135,'Jul-Dec Bar graphs'!$B$119:$C$132,2,FALSE)</f>
        <v>0</v>
      </c>
      <c r="E135" s="12">
        <f>VLOOKUP($B135,'Jul-Mar Bar graphs'!$B$119:$C$132,2,FALSE)</f>
        <v>12.5</v>
      </c>
      <c r="F135" s="12" t="e">
        <f>VLOOKUP($B135,#REF!,2,FALSE)</f>
        <v>#REF!</v>
      </c>
    </row>
    <row r="136" spans="1:6" ht="12.75">
      <c r="A136" s="6"/>
      <c r="B136" s="6"/>
      <c r="C136" s="6"/>
      <c r="D136" s="49"/>
      <c r="E136" s="49"/>
      <c r="F136" s="49"/>
    </row>
    <row r="137" spans="1:6" ht="12.75">
      <c r="A137" s="13"/>
      <c r="B137" s="13"/>
      <c r="C137" s="13"/>
      <c r="D137" s="13"/>
      <c r="E137" s="13"/>
      <c r="F137" s="13"/>
    </row>
    <row r="138" spans="1:6" ht="12.75">
      <c r="A138" s="13"/>
      <c r="B138" s="13"/>
      <c r="C138" s="13"/>
      <c r="D138" s="13"/>
      <c r="E138" s="13"/>
      <c r="F138" s="13"/>
    </row>
    <row r="139" spans="1:6" ht="12.75">
      <c r="A139" s="15"/>
      <c r="B139" s="15"/>
      <c r="C139" s="15"/>
      <c r="D139" s="15"/>
      <c r="E139" s="15"/>
      <c r="F139" s="15"/>
    </row>
    <row r="140" spans="1:6" ht="12.75">
      <c r="A140" s="15"/>
      <c r="B140" s="15"/>
      <c r="C140" s="15"/>
      <c r="D140" s="15"/>
      <c r="E140" s="15"/>
      <c r="F140" s="15"/>
    </row>
    <row r="141" spans="1:3" ht="12.75">
      <c r="A141" s="3"/>
      <c r="B141" s="3"/>
      <c r="C141" s="3"/>
    </row>
    <row r="142" spans="1:3" ht="12.75">
      <c r="A142" s="3"/>
      <c r="B142" s="3"/>
      <c r="C142" s="3"/>
    </row>
    <row r="143" spans="1:3" ht="12.75">
      <c r="A143" s="16"/>
      <c r="B143" s="16"/>
      <c r="C143" s="16"/>
    </row>
    <row r="144" spans="1:3" ht="12.75">
      <c r="A144" s="16"/>
      <c r="B144" s="16"/>
      <c r="C144" s="16"/>
    </row>
    <row r="146" spans="1:3" ht="12.75">
      <c r="A146" s="1"/>
      <c r="B146" s="1"/>
      <c r="C146" s="1"/>
    </row>
    <row r="147" spans="1:3" ht="12.75">
      <c r="A147" s="17"/>
      <c r="B147" s="17"/>
      <c r="C147" s="17"/>
    </row>
    <row r="148" spans="1:3" ht="12.75">
      <c r="A148" s="18"/>
      <c r="B148" s="18"/>
      <c r="C148" s="18"/>
    </row>
    <row r="149" spans="1:3" ht="12.75">
      <c r="A149" s="19"/>
      <c r="B149" s="19"/>
      <c r="C149" s="19"/>
    </row>
    <row r="150" spans="1:3" ht="12.75">
      <c r="A150" s="19"/>
      <c r="B150" s="19"/>
      <c r="C150" s="19"/>
    </row>
    <row r="151" spans="1:3" ht="12.75">
      <c r="A151" s="19"/>
      <c r="B151" s="19"/>
      <c r="C151" s="19"/>
    </row>
    <row r="152" spans="1:3" ht="12.75">
      <c r="A152" s="19"/>
      <c r="B152" s="19"/>
      <c r="C152" s="19"/>
    </row>
    <row r="153" spans="1:3" ht="12.75">
      <c r="A153" s="20"/>
      <c r="B153" s="20"/>
      <c r="C153" s="20"/>
    </row>
    <row r="154" spans="1:3" ht="12.75">
      <c r="A154" s="17"/>
      <c r="B154" s="17"/>
      <c r="C154" s="17"/>
    </row>
  </sheetData>
  <sheetProtection/>
  <printOptions/>
  <pageMargins left="0.22" right="0.17" top="0.34" bottom="1" header="0.18" footer="0.5"/>
  <pageSetup fitToHeight="1" fitToWidth="1" horizontalDpi="600" verticalDpi="600" orientation="landscape" paperSize="9" scale="9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00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0.00390625" style="0" customWidth="1"/>
    <col min="2" max="4" width="9.7109375" style="99" customWidth="1"/>
    <col min="5" max="5" width="9.7109375" style="104" customWidth="1"/>
    <col min="6" max="12" width="9.7109375" style="99" customWidth="1"/>
    <col min="13" max="14" width="9.7109375" style="168" customWidth="1"/>
    <col min="15" max="16" width="9.7109375" style="110" customWidth="1"/>
    <col min="17" max="17" width="10.57421875" style="110" customWidth="1"/>
    <col min="18" max="19" width="9.7109375" style="99" customWidth="1"/>
    <col min="21" max="21" width="9.8515625" style="0" customWidth="1"/>
    <col min="25" max="25" width="17.8515625" style="0" customWidth="1"/>
  </cols>
  <sheetData>
    <row r="1" ht="12.75">
      <c r="A1" s="14" t="s">
        <v>91</v>
      </c>
    </row>
    <row r="2" spans="1:19" ht="13.5">
      <c r="A2" s="39" t="s">
        <v>83</v>
      </c>
      <c r="B2" s="100"/>
      <c r="C2" s="100"/>
      <c r="D2" s="100"/>
      <c r="E2" s="105"/>
      <c r="F2" s="100"/>
      <c r="G2" s="100"/>
      <c r="H2" s="100"/>
      <c r="I2" s="100"/>
      <c r="J2" s="100"/>
      <c r="K2" s="100"/>
      <c r="L2" s="100"/>
      <c r="M2" s="169"/>
      <c r="N2" s="169"/>
      <c r="O2" s="111"/>
      <c r="P2" s="111"/>
      <c r="Q2" s="111"/>
      <c r="R2" s="100"/>
      <c r="S2" s="100"/>
    </row>
    <row r="3" spans="1:21" ht="12.75">
      <c r="A3" s="54" t="s">
        <v>29</v>
      </c>
      <c r="B3" s="100"/>
      <c r="C3" s="100"/>
      <c r="D3" s="100"/>
      <c r="E3" s="105"/>
      <c r="F3" s="100"/>
      <c r="G3" s="100"/>
      <c r="H3" s="100"/>
      <c r="I3" s="100"/>
      <c r="J3" s="100"/>
      <c r="K3" s="100"/>
      <c r="L3" s="100"/>
      <c r="M3" s="169"/>
      <c r="N3" s="169"/>
      <c r="O3" s="111"/>
      <c r="P3" s="111"/>
      <c r="Q3" s="111"/>
      <c r="R3" s="100"/>
      <c r="S3" s="100"/>
      <c r="T3" s="3"/>
      <c r="U3" s="3"/>
    </row>
    <row r="4" spans="1:35" ht="39">
      <c r="A4" s="136" t="s">
        <v>0</v>
      </c>
      <c r="B4" s="148" t="s">
        <v>90</v>
      </c>
      <c r="C4" s="137" t="s">
        <v>11</v>
      </c>
      <c r="D4" s="137" t="s">
        <v>31</v>
      </c>
      <c r="E4" s="138" t="s">
        <v>82</v>
      </c>
      <c r="F4" s="137" t="s">
        <v>18</v>
      </c>
      <c r="G4" s="137" t="s">
        <v>17</v>
      </c>
      <c r="H4" s="137" t="s">
        <v>32</v>
      </c>
      <c r="I4" s="137" t="s">
        <v>33</v>
      </c>
      <c r="J4" s="137" t="s">
        <v>19</v>
      </c>
      <c r="K4" s="137" t="s">
        <v>34</v>
      </c>
      <c r="L4" s="137" t="s">
        <v>15</v>
      </c>
      <c r="M4" s="165" t="s">
        <v>92</v>
      </c>
      <c r="N4" s="177" t="s">
        <v>93</v>
      </c>
      <c r="O4" s="139" t="s">
        <v>20</v>
      </c>
      <c r="P4" s="139" t="s">
        <v>16</v>
      </c>
      <c r="Q4" s="139" t="s">
        <v>81</v>
      </c>
      <c r="R4" s="137" t="s">
        <v>80</v>
      </c>
      <c r="S4" s="137" t="s">
        <v>79</v>
      </c>
      <c r="T4" s="61"/>
      <c r="U4" s="61"/>
      <c r="V4" s="62"/>
      <c r="W4" s="62"/>
      <c r="X4" s="62"/>
      <c r="Y4" s="63"/>
      <c r="Z4" s="63"/>
      <c r="AI4" s="64"/>
    </row>
    <row r="5" spans="2:35" ht="12.75">
      <c r="B5"/>
      <c r="C5"/>
      <c r="D5"/>
      <c r="E5"/>
      <c r="F5"/>
      <c r="G5"/>
      <c r="H5"/>
      <c r="I5"/>
      <c r="J5"/>
      <c r="K5"/>
      <c r="L5"/>
      <c r="M5" s="166"/>
      <c r="N5" s="166"/>
      <c r="O5"/>
      <c r="P5"/>
      <c r="Q5"/>
      <c r="R5" s="178"/>
      <c r="S5"/>
      <c r="T5" s="61"/>
      <c r="U5" s="61"/>
      <c r="V5" s="62"/>
      <c r="W5" s="62"/>
      <c r="X5" s="62"/>
      <c r="Y5" s="63"/>
      <c r="Z5" s="63"/>
      <c r="AI5" s="3"/>
    </row>
    <row r="6" spans="1:29" ht="12.75">
      <c r="A6" s="114" t="s">
        <v>13</v>
      </c>
      <c r="B6" s="115">
        <v>0</v>
      </c>
      <c r="C6" s="115">
        <v>0</v>
      </c>
      <c r="D6" s="115">
        <v>0</v>
      </c>
      <c r="E6" s="140">
        <v>0.003802</v>
      </c>
      <c r="F6" s="115">
        <v>0</v>
      </c>
      <c r="G6" s="115">
        <v>0</v>
      </c>
      <c r="H6" s="115">
        <v>0</v>
      </c>
      <c r="I6" s="115">
        <v>0</v>
      </c>
      <c r="J6" s="115">
        <v>1</v>
      </c>
      <c r="K6" s="117">
        <f>D6+I6</f>
        <v>0</v>
      </c>
      <c r="L6" s="115">
        <f aca="true" t="shared" si="0" ref="L6:L20">C6+G6+F6</f>
        <v>0</v>
      </c>
      <c r="M6" s="167">
        <f aca="true" t="shared" si="1" ref="M6:M20">IF(B6="",0,B6/E6)</f>
        <v>0</v>
      </c>
      <c r="N6" s="167">
        <f aca="true" t="shared" si="2" ref="N6:N20">IF(J6="",0,J6/E6)</f>
        <v>263.0194634402946</v>
      </c>
      <c r="O6" s="118">
        <f aca="true" t="shared" si="3" ref="O6:O20">IF(E6="",0,C6/E6)</f>
        <v>0</v>
      </c>
      <c r="P6" s="118">
        <f>IF(E6="",0,L6/E6)</f>
        <v>0</v>
      </c>
      <c r="Q6" s="118">
        <f aca="true" t="shared" si="4" ref="Q6:Q20">IF(E6="",0,(C6+G6)/E6)</f>
        <v>0</v>
      </c>
      <c r="R6" s="115">
        <f aca="true" t="shared" si="5" ref="R6:R20">IF(E6="",0,(K6+H6)/E6)</f>
        <v>0</v>
      </c>
      <c r="S6" s="115">
        <f aca="true" t="shared" si="6" ref="S6:S22">IF((C6+G6)=0,0,(K6+H6)/(C6+G6))</f>
        <v>0</v>
      </c>
      <c r="T6" s="25"/>
      <c r="U6" s="76"/>
      <c r="V6" s="77"/>
      <c r="W6" s="29"/>
      <c r="X6" s="16"/>
      <c r="Z6" s="4"/>
      <c r="AA6" s="13"/>
      <c r="AB6" s="13"/>
      <c r="AC6" s="13"/>
    </row>
    <row r="7" spans="1:29" s="18" customFormat="1" ht="12.75">
      <c r="A7" s="114" t="s">
        <v>24</v>
      </c>
      <c r="B7" s="115">
        <v>2</v>
      </c>
      <c r="C7" s="115">
        <v>15</v>
      </c>
      <c r="D7" s="115">
        <v>392</v>
      </c>
      <c r="E7" s="116">
        <v>1.501213</v>
      </c>
      <c r="F7" s="115">
        <v>8</v>
      </c>
      <c r="G7" s="115">
        <v>16</v>
      </c>
      <c r="H7" s="115">
        <v>543</v>
      </c>
      <c r="I7" s="115">
        <v>99</v>
      </c>
      <c r="J7" s="115">
        <v>28</v>
      </c>
      <c r="K7" s="117">
        <f aca="true" t="shared" si="7" ref="K7:K20">D7+I7</f>
        <v>491</v>
      </c>
      <c r="L7" s="115">
        <f t="shared" si="0"/>
        <v>39</v>
      </c>
      <c r="M7" s="170">
        <f t="shared" si="1"/>
        <v>1.3322559823289568</v>
      </c>
      <c r="N7" s="170">
        <f t="shared" si="2"/>
        <v>18.651583752605394</v>
      </c>
      <c r="O7" s="118">
        <f t="shared" si="3"/>
        <v>9.991919867467175</v>
      </c>
      <c r="P7" s="118">
        <f aca="true" t="shared" si="8" ref="P7:P20">IF(E7="",0,L7/E7)</f>
        <v>25.978991655414656</v>
      </c>
      <c r="Q7" s="118">
        <f t="shared" si="4"/>
        <v>20.64996772609883</v>
      </c>
      <c r="R7" s="115">
        <f t="shared" si="5"/>
        <v>688.7763428640707</v>
      </c>
      <c r="S7" s="115">
        <f t="shared" si="6"/>
        <v>33.354838709677416</v>
      </c>
      <c r="T7" s="25"/>
      <c r="U7" s="81"/>
      <c r="V7" s="77"/>
      <c r="W7" s="29"/>
      <c r="X7" s="16"/>
      <c r="Z7" s="26"/>
      <c r="AA7" s="34"/>
      <c r="AB7" s="34"/>
      <c r="AC7" s="34"/>
    </row>
    <row r="8" spans="1:29" ht="12.75">
      <c r="A8" s="114" t="s">
        <v>75</v>
      </c>
      <c r="B8" s="115">
        <v>1</v>
      </c>
      <c r="C8" s="115">
        <v>8</v>
      </c>
      <c r="D8" s="115">
        <v>345</v>
      </c>
      <c r="E8" s="116">
        <v>0.53168</v>
      </c>
      <c r="F8" s="115">
        <v>3</v>
      </c>
      <c r="G8" s="115">
        <v>17</v>
      </c>
      <c r="H8" s="115">
        <v>941</v>
      </c>
      <c r="I8" s="115">
        <v>1</v>
      </c>
      <c r="J8" s="115">
        <v>14</v>
      </c>
      <c r="K8" s="117">
        <f t="shared" si="7"/>
        <v>346</v>
      </c>
      <c r="L8" s="115">
        <f t="shared" si="0"/>
        <v>28</v>
      </c>
      <c r="M8" s="170">
        <f t="shared" si="1"/>
        <v>1.8808305747818235</v>
      </c>
      <c r="N8" s="170">
        <f t="shared" si="2"/>
        <v>26.33162804694553</v>
      </c>
      <c r="O8" s="118">
        <f t="shared" si="3"/>
        <v>15.046644598254588</v>
      </c>
      <c r="P8" s="118">
        <f t="shared" si="8"/>
        <v>52.66325609389106</v>
      </c>
      <c r="Q8" s="118">
        <f t="shared" si="4"/>
        <v>47.02076436954559</v>
      </c>
      <c r="R8" s="115">
        <f t="shared" si="5"/>
        <v>2420.6289497442067</v>
      </c>
      <c r="S8" s="115">
        <f t="shared" si="6"/>
        <v>51.48</v>
      </c>
      <c r="T8" s="25"/>
      <c r="U8" s="76"/>
      <c r="V8" s="77"/>
      <c r="W8" s="29"/>
      <c r="X8" s="25"/>
      <c r="Y8" s="16"/>
      <c r="Z8" s="4"/>
      <c r="AA8" s="13"/>
      <c r="AB8" s="13"/>
      <c r="AC8" s="13"/>
    </row>
    <row r="9" spans="1:29" s="18" customFormat="1" ht="12.75">
      <c r="A9" s="114" t="s">
        <v>1</v>
      </c>
      <c r="B9" s="115">
        <v>0</v>
      </c>
      <c r="C9" s="115">
        <v>14</v>
      </c>
      <c r="D9" s="115">
        <v>295</v>
      </c>
      <c r="E9" s="116">
        <v>0.716686</v>
      </c>
      <c r="F9" s="115">
        <v>9</v>
      </c>
      <c r="G9" s="115">
        <v>17</v>
      </c>
      <c r="H9" s="115">
        <v>485</v>
      </c>
      <c r="I9" s="115">
        <v>5</v>
      </c>
      <c r="J9" s="115">
        <v>22</v>
      </c>
      <c r="K9" s="117">
        <f t="shared" si="7"/>
        <v>300</v>
      </c>
      <c r="L9" s="115">
        <f t="shared" si="0"/>
        <v>40</v>
      </c>
      <c r="M9" s="170">
        <f t="shared" si="1"/>
        <v>0</v>
      </c>
      <c r="N9" s="170">
        <f t="shared" si="2"/>
        <v>30.69684631763422</v>
      </c>
      <c r="O9" s="118">
        <f t="shared" si="3"/>
        <v>19.534356747585413</v>
      </c>
      <c r="P9" s="118">
        <f t="shared" si="8"/>
        <v>55.812447850244034</v>
      </c>
      <c r="Q9" s="118">
        <f t="shared" si="4"/>
        <v>43.254647083939126</v>
      </c>
      <c r="R9" s="115">
        <f t="shared" si="5"/>
        <v>1095.3192890610392</v>
      </c>
      <c r="S9" s="115">
        <f t="shared" si="6"/>
        <v>25.322580645161292</v>
      </c>
      <c r="T9" s="25"/>
      <c r="U9" s="81"/>
      <c r="V9" s="77"/>
      <c r="W9" s="29"/>
      <c r="X9" s="16"/>
      <c r="Z9" s="26"/>
      <c r="AA9" s="34"/>
      <c r="AB9" s="34"/>
      <c r="AC9" s="34"/>
    </row>
    <row r="10" spans="1:29" ht="12.75">
      <c r="A10" s="114" t="s">
        <v>2</v>
      </c>
      <c r="B10" s="115">
        <v>0</v>
      </c>
      <c r="C10" s="115">
        <v>0</v>
      </c>
      <c r="D10" s="115">
        <v>0</v>
      </c>
      <c r="E10" s="116">
        <v>0.029553</v>
      </c>
      <c r="F10" s="115">
        <v>0</v>
      </c>
      <c r="G10" s="115">
        <v>0</v>
      </c>
      <c r="H10" s="115">
        <v>0</v>
      </c>
      <c r="I10" s="115">
        <v>0</v>
      </c>
      <c r="J10" s="115">
        <v>0</v>
      </c>
      <c r="K10" s="117">
        <f t="shared" si="7"/>
        <v>0</v>
      </c>
      <c r="L10" s="115">
        <f t="shared" si="0"/>
        <v>0</v>
      </c>
      <c r="M10" s="170">
        <f t="shared" si="1"/>
        <v>0</v>
      </c>
      <c r="N10" s="170">
        <f t="shared" si="2"/>
        <v>0</v>
      </c>
      <c r="O10" s="118">
        <f t="shared" si="3"/>
        <v>0</v>
      </c>
      <c r="P10" s="118">
        <f t="shared" si="8"/>
        <v>0</v>
      </c>
      <c r="Q10" s="118">
        <f t="shared" si="4"/>
        <v>0</v>
      </c>
      <c r="R10" s="115">
        <f t="shared" si="5"/>
        <v>0</v>
      </c>
      <c r="S10" s="115">
        <f t="shared" si="6"/>
        <v>0</v>
      </c>
      <c r="T10" s="25"/>
      <c r="U10" s="76"/>
      <c r="V10" s="77"/>
      <c r="W10" s="25"/>
      <c r="Z10" s="4"/>
      <c r="AA10" s="13"/>
      <c r="AB10" s="13"/>
      <c r="AC10" s="13"/>
    </row>
    <row r="11" spans="1:29" ht="12.75">
      <c r="A11" s="114" t="s">
        <v>76</v>
      </c>
      <c r="B11" s="115">
        <v>0</v>
      </c>
      <c r="C11" s="115">
        <v>0</v>
      </c>
      <c r="D11" s="115">
        <v>0</v>
      </c>
      <c r="E11" s="116">
        <v>0.006953</v>
      </c>
      <c r="F11" s="115">
        <v>0</v>
      </c>
      <c r="G11" s="115">
        <v>0</v>
      </c>
      <c r="H11" s="115">
        <v>0</v>
      </c>
      <c r="I11" s="115">
        <v>0</v>
      </c>
      <c r="J11" s="115">
        <v>0</v>
      </c>
      <c r="K11" s="117">
        <f>D11+I11</f>
        <v>0</v>
      </c>
      <c r="L11" s="115">
        <f t="shared" si="0"/>
        <v>0</v>
      </c>
      <c r="M11" s="170">
        <f t="shared" si="1"/>
        <v>0</v>
      </c>
      <c r="N11" s="170">
        <f t="shared" si="2"/>
        <v>0</v>
      </c>
      <c r="O11" s="118">
        <f t="shared" si="3"/>
        <v>0</v>
      </c>
      <c r="P11" s="118">
        <f>IF(E11="",0,L11/E11)</f>
        <v>0</v>
      </c>
      <c r="Q11" s="118">
        <f t="shared" si="4"/>
        <v>0</v>
      </c>
      <c r="R11" s="115">
        <f t="shared" si="5"/>
        <v>0</v>
      </c>
      <c r="S11" s="115">
        <f t="shared" si="6"/>
        <v>0</v>
      </c>
      <c r="T11" s="25"/>
      <c r="U11" s="76"/>
      <c r="V11" s="77"/>
      <c r="W11" s="25"/>
      <c r="Z11" s="4"/>
      <c r="AA11" s="13"/>
      <c r="AB11" s="13"/>
      <c r="AC11" s="13"/>
    </row>
    <row r="12" spans="1:29" s="18" customFormat="1" ht="12.75">
      <c r="A12" s="114" t="s">
        <v>77</v>
      </c>
      <c r="B12" s="115">
        <v>0</v>
      </c>
      <c r="C12" s="115">
        <v>3</v>
      </c>
      <c r="D12" s="115">
        <v>63</v>
      </c>
      <c r="E12" s="116">
        <v>0.660734</v>
      </c>
      <c r="F12" s="115">
        <v>42</v>
      </c>
      <c r="G12" s="115">
        <v>5</v>
      </c>
      <c r="H12" s="115">
        <v>112</v>
      </c>
      <c r="I12" s="115">
        <v>43</v>
      </c>
      <c r="J12" s="115">
        <v>17</v>
      </c>
      <c r="K12" s="117">
        <f t="shared" si="7"/>
        <v>106</v>
      </c>
      <c r="L12" s="115">
        <f t="shared" si="0"/>
        <v>50</v>
      </c>
      <c r="M12" s="170">
        <f t="shared" si="1"/>
        <v>0</v>
      </c>
      <c r="N12" s="170">
        <f t="shared" si="2"/>
        <v>25.72896203313285</v>
      </c>
      <c r="O12" s="118">
        <f t="shared" si="3"/>
        <v>4.5404050646705025</v>
      </c>
      <c r="P12" s="118">
        <f t="shared" si="8"/>
        <v>75.67341774450837</v>
      </c>
      <c r="Q12" s="118">
        <f t="shared" si="4"/>
        <v>12.10774683912134</v>
      </c>
      <c r="R12" s="115">
        <f t="shared" si="5"/>
        <v>329.9361013660565</v>
      </c>
      <c r="S12" s="115">
        <f t="shared" si="6"/>
        <v>27.25</v>
      </c>
      <c r="T12" s="25"/>
      <c r="U12" s="81"/>
      <c r="V12" s="77"/>
      <c r="W12" s="25"/>
      <c r="Z12" s="26"/>
      <c r="AA12" s="34"/>
      <c r="AB12" s="34"/>
      <c r="AC12" s="34"/>
    </row>
    <row r="13" spans="1:29" ht="12.75">
      <c r="A13" s="114" t="s">
        <v>9</v>
      </c>
      <c r="B13" s="115">
        <v>3</v>
      </c>
      <c r="C13" s="115">
        <v>11</v>
      </c>
      <c r="D13" s="115">
        <v>916</v>
      </c>
      <c r="E13" s="116">
        <v>1.462111</v>
      </c>
      <c r="F13" s="115">
        <v>5</v>
      </c>
      <c r="G13" s="115">
        <v>10</v>
      </c>
      <c r="H13" s="115">
        <v>831</v>
      </c>
      <c r="I13" s="115">
        <v>45</v>
      </c>
      <c r="J13" s="115">
        <v>29</v>
      </c>
      <c r="K13" s="117">
        <f t="shared" si="7"/>
        <v>961</v>
      </c>
      <c r="L13" s="115">
        <f t="shared" si="0"/>
        <v>26</v>
      </c>
      <c r="M13" s="170">
        <f t="shared" si="1"/>
        <v>2.051827802403511</v>
      </c>
      <c r="N13" s="170">
        <f t="shared" si="2"/>
        <v>19.83433542323394</v>
      </c>
      <c r="O13" s="118">
        <f t="shared" si="3"/>
        <v>7.523368608812874</v>
      </c>
      <c r="P13" s="118">
        <f t="shared" si="8"/>
        <v>17.78250762083043</v>
      </c>
      <c r="Q13" s="118">
        <f t="shared" si="4"/>
        <v>14.362794616824578</v>
      </c>
      <c r="R13" s="115">
        <f t="shared" si="5"/>
        <v>1225.6251406356973</v>
      </c>
      <c r="S13" s="115">
        <f t="shared" si="6"/>
        <v>85.33333333333333</v>
      </c>
      <c r="T13" s="25"/>
      <c r="U13" s="76"/>
      <c r="V13" s="77"/>
      <c r="W13" s="25"/>
      <c r="Z13" s="4"/>
      <c r="AA13" s="13"/>
      <c r="AB13" s="13"/>
      <c r="AC13" s="13"/>
    </row>
    <row r="14" spans="1:29" s="18" customFormat="1" ht="12.75">
      <c r="A14" s="114" t="s">
        <v>78</v>
      </c>
      <c r="B14" s="115">
        <v>7</v>
      </c>
      <c r="C14" s="115">
        <v>12</v>
      </c>
      <c r="D14" s="115">
        <v>887</v>
      </c>
      <c r="E14" s="116">
        <v>1.555356</v>
      </c>
      <c r="F14" s="115">
        <v>0</v>
      </c>
      <c r="G14" s="115">
        <v>8</v>
      </c>
      <c r="H14" s="115">
        <v>335</v>
      </c>
      <c r="I14" s="115">
        <v>53</v>
      </c>
      <c r="J14" s="115">
        <v>32</v>
      </c>
      <c r="K14" s="117">
        <f t="shared" si="7"/>
        <v>940</v>
      </c>
      <c r="L14" s="115">
        <f t="shared" si="0"/>
        <v>20</v>
      </c>
      <c r="M14" s="170">
        <f t="shared" si="1"/>
        <v>4.500577359781298</v>
      </c>
      <c r="N14" s="170">
        <f t="shared" si="2"/>
        <v>20.57406793042879</v>
      </c>
      <c r="O14" s="118">
        <f t="shared" si="3"/>
        <v>7.715275473910796</v>
      </c>
      <c r="P14" s="118">
        <f t="shared" si="8"/>
        <v>12.858792456517994</v>
      </c>
      <c r="Q14" s="118">
        <f t="shared" si="4"/>
        <v>12.858792456517994</v>
      </c>
      <c r="R14" s="115">
        <f t="shared" si="5"/>
        <v>819.7480191030221</v>
      </c>
      <c r="S14" s="115">
        <f t="shared" si="6"/>
        <v>63.75</v>
      </c>
      <c r="T14" s="25"/>
      <c r="U14" s="81"/>
      <c r="V14" s="77"/>
      <c r="W14" s="25"/>
      <c r="Z14" s="26"/>
      <c r="AA14" s="34"/>
      <c r="AB14" s="34"/>
      <c r="AC14" s="34"/>
    </row>
    <row r="15" spans="1:29" ht="12.75">
      <c r="A15" s="114" t="s">
        <v>8</v>
      </c>
      <c r="B15" s="115">
        <v>2</v>
      </c>
      <c r="C15" s="115">
        <v>5</v>
      </c>
      <c r="D15" s="115">
        <v>48</v>
      </c>
      <c r="E15" s="116">
        <v>1.234942</v>
      </c>
      <c r="F15" s="115">
        <v>11</v>
      </c>
      <c r="G15" s="115">
        <v>1</v>
      </c>
      <c r="H15" s="115">
        <v>9</v>
      </c>
      <c r="I15" s="115">
        <v>0</v>
      </c>
      <c r="J15" s="115">
        <v>30</v>
      </c>
      <c r="K15" s="117">
        <f t="shared" si="7"/>
        <v>48</v>
      </c>
      <c r="L15" s="115">
        <f t="shared" si="0"/>
        <v>17</v>
      </c>
      <c r="M15" s="170">
        <f t="shared" si="1"/>
        <v>1.6195092563051545</v>
      </c>
      <c r="N15" s="170">
        <f t="shared" si="2"/>
        <v>24.292638844577315</v>
      </c>
      <c r="O15" s="118">
        <f t="shared" si="3"/>
        <v>4.048773140762886</v>
      </c>
      <c r="P15" s="118">
        <f t="shared" si="8"/>
        <v>13.765828678593813</v>
      </c>
      <c r="Q15" s="118">
        <f t="shared" si="4"/>
        <v>4.858527768915463</v>
      </c>
      <c r="R15" s="115">
        <f t="shared" si="5"/>
        <v>46.156013804696904</v>
      </c>
      <c r="S15" s="115">
        <f t="shared" si="6"/>
        <v>9.5</v>
      </c>
      <c r="T15" s="25"/>
      <c r="U15" s="76"/>
      <c r="V15" s="77"/>
      <c r="W15" s="25"/>
      <c r="Z15" s="4"/>
      <c r="AA15" s="13"/>
      <c r="AB15" s="13"/>
      <c r="AC15" s="13"/>
    </row>
    <row r="16" spans="1:29" s="18" customFormat="1" ht="12.75">
      <c r="A16" s="114" t="s">
        <v>3</v>
      </c>
      <c r="B16" s="115">
        <v>6</v>
      </c>
      <c r="C16" s="115">
        <v>15</v>
      </c>
      <c r="D16" s="115">
        <v>957</v>
      </c>
      <c r="E16" s="116">
        <v>1.659516</v>
      </c>
      <c r="F16" s="115">
        <v>0</v>
      </c>
      <c r="G16" s="115">
        <v>6</v>
      </c>
      <c r="H16" s="115">
        <v>242</v>
      </c>
      <c r="I16" s="115">
        <v>133</v>
      </c>
      <c r="J16" s="115">
        <v>45</v>
      </c>
      <c r="K16" s="117">
        <f t="shared" si="7"/>
        <v>1090</v>
      </c>
      <c r="L16" s="115">
        <f t="shared" si="0"/>
        <v>21</v>
      </c>
      <c r="M16" s="170">
        <f t="shared" si="1"/>
        <v>3.6155119926532797</v>
      </c>
      <c r="N16" s="170">
        <f t="shared" si="2"/>
        <v>27.116339944899597</v>
      </c>
      <c r="O16" s="118">
        <f t="shared" si="3"/>
        <v>9.0387799816332</v>
      </c>
      <c r="P16" s="118">
        <f t="shared" si="8"/>
        <v>12.654291974286478</v>
      </c>
      <c r="Q16" s="118">
        <f t="shared" si="4"/>
        <v>12.654291974286478</v>
      </c>
      <c r="R16" s="115">
        <f t="shared" si="5"/>
        <v>802.6436623690281</v>
      </c>
      <c r="S16" s="115">
        <f t="shared" si="6"/>
        <v>63.42857142857143</v>
      </c>
      <c r="T16" s="25"/>
      <c r="U16" s="81"/>
      <c r="V16" s="77"/>
      <c r="W16" s="29"/>
      <c r="X16" s="16"/>
      <c r="Z16" s="26"/>
      <c r="AA16" s="34"/>
      <c r="AB16" s="34"/>
      <c r="AC16" s="34"/>
    </row>
    <row r="17" spans="1:29" ht="12.75">
      <c r="A17" s="114" t="s">
        <v>12</v>
      </c>
      <c r="B17" s="115">
        <v>0</v>
      </c>
      <c r="C17" s="115">
        <v>0</v>
      </c>
      <c r="D17" s="115">
        <v>0</v>
      </c>
      <c r="E17" s="116">
        <v>0.038044</v>
      </c>
      <c r="F17" s="115">
        <v>0</v>
      </c>
      <c r="G17" s="115">
        <v>0</v>
      </c>
      <c r="H17" s="115">
        <v>0</v>
      </c>
      <c r="I17" s="115">
        <v>0</v>
      </c>
      <c r="J17" s="115">
        <v>2</v>
      </c>
      <c r="K17" s="117">
        <f t="shared" si="7"/>
        <v>0</v>
      </c>
      <c r="L17" s="115">
        <f t="shared" si="0"/>
        <v>0</v>
      </c>
      <c r="M17" s="170">
        <f t="shared" si="1"/>
        <v>0</v>
      </c>
      <c r="N17" s="170">
        <f t="shared" si="2"/>
        <v>52.570707601724315</v>
      </c>
      <c r="O17" s="118">
        <f t="shared" si="3"/>
        <v>0</v>
      </c>
      <c r="P17" s="118">
        <f t="shared" si="8"/>
        <v>0</v>
      </c>
      <c r="Q17" s="118">
        <f t="shared" si="4"/>
        <v>0</v>
      </c>
      <c r="R17" s="115">
        <f t="shared" si="5"/>
        <v>0</v>
      </c>
      <c r="S17" s="115">
        <f t="shared" si="6"/>
        <v>0</v>
      </c>
      <c r="T17" s="25"/>
      <c r="U17" s="76"/>
      <c r="V17" s="77"/>
      <c r="W17" s="29"/>
      <c r="X17" s="16"/>
      <c r="Z17" s="4"/>
      <c r="AA17" s="13"/>
      <c r="AB17" s="13"/>
      <c r="AC17" s="13"/>
    </row>
    <row r="18" spans="1:29" s="18" customFormat="1" ht="12.75">
      <c r="A18" s="114" t="s">
        <v>4</v>
      </c>
      <c r="B18" s="115">
        <v>3</v>
      </c>
      <c r="C18" s="115">
        <v>2</v>
      </c>
      <c r="D18" s="115">
        <v>55</v>
      </c>
      <c r="E18" s="116">
        <v>0.805082</v>
      </c>
      <c r="F18" s="115">
        <v>2</v>
      </c>
      <c r="G18" s="115">
        <v>3</v>
      </c>
      <c r="H18" s="115">
        <v>275</v>
      </c>
      <c r="I18" s="115">
        <v>0</v>
      </c>
      <c r="J18" s="115">
        <v>19</v>
      </c>
      <c r="K18" s="117">
        <f t="shared" si="7"/>
        <v>55</v>
      </c>
      <c r="L18" s="115">
        <f t="shared" si="0"/>
        <v>7</v>
      </c>
      <c r="M18" s="170">
        <f t="shared" si="1"/>
        <v>3.726328498215089</v>
      </c>
      <c r="N18" s="170">
        <f t="shared" si="2"/>
        <v>23.600080488695564</v>
      </c>
      <c r="O18" s="118">
        <f t="shared" si="3"/>
        <v>2.4842189988100594</v>
      </c>
      <c r="P18" s="118">
        <f t="shared" si="8"/>
        <v>8.694766495835207</v>
      </c>
      <c r="Q18" s="118">
        <f t="shared" si="4"/>
        <v>6.210547497025148</v>
      </c>
      <c r="R18" s="115">
        <f t="shared" si="5"/>
        <v>409.8961348036598</v>
      </c>
      <c r="S18" s="115">
        <f t="shared" si="6"/>
        <v>66</v>
      </c>
      <c r="T18" s="25"/>
      <c r="U18" s="81"/>
      <c r="V18" s="77"/>
      <c r="W18" s="29"/>
      <c r="X18" s="16"/>
      <c r="Z18" s="26"/>
      <c r="AA18" s="34"/>
      <c r="AB18" s="34"/>
      <c r="AC18" s="34"/>
    </row>
    <row r="19" spans="1:29" ht="12.75">
      <c r="A19" s="114" t="s">
        <v>5</v>
      </c>
      <c r="B19" s="115">
        <v>2</v>
      </c>
      <c r="C19" s="115">
        <v>2</v>
      </c>
      <c r="D19" s="115">
        <v>16</v>
      </c>
      <c r="E19" s="116">
        <v>0.582997</v>
      </c>
      <c r="F19" s="115">
        <v>0</v>
      </c>
      <c r="G19" s="115">
        <v>1</v>
      </c>
      <c r="H19" s="115">
        <v>71</v>
      </c>
      <c r="I19" s="115">
        <v>0</v>
      </c>
      <c r="J19" s="115">
        <v>13</v>
      </c>
      <c r="K19" s="117">
        <f t="shared" si="7"/>
        <v>16</v>
      </c>
      <c r="L19" s="115">
        <f t="shared" si="0"/>
        <v>3</v>
      </c>
      <c r="M19" s="170">
        <f t="shared" si="1"/>
        <v>3.430549385331314</v>
      </c>
      <c r="N19" s="170">
        <f t="shared" si="2"/>
        <v>22.298571004653542</v>
      </c>
      <c r="O19" s="118">
        <f t="shared" si="3"/>
        <v>3.430549385331314</v>
      </c>
      <c r="P19" s="118">
        <f t="shared" si="8"/>
        <v>5.145824077996971</v>
      </c>
      <c r="Q19" s="118">
        <f t="shared" si="4"/>
        <v>5.145824077996971</v>
      </c>
      <c r="R19" s="115">
        <f t="shared" si="5"/>
        <v>149.22889826191215</v>
      </c>
      <c r="S19" s="115">
        <f t="shared" si="6"/>
        <v>29</v>
      </c>
      <c r="T19" s="25"/>
      <c r="U19" s="76"/>
      <c r="V19" s="77"/>
      <c r="W19" s="29"/>
      <c r="X19" s="16"/>
      <c r="Z19" s="4"/>
      <c r="AA19" s="13"/>
      <c r="AB19" s="13"/>
      <c r="AC19" s="13"/>
    </row>
    <row r="20" spans="1:29" s="18" customFormat="1" ht="12.75">
      <c r="A20" s="114" t="s">
        <v>6</v>
      </c>
      <c r="B20" s="115">
        <v>2</v>
      </c>
      <c r="C20" s="115">
        <v>4</v>
      </c>
      <c r="D20" s="115">
        <v>357</v>
      </c>
      <c r="E20" s="116">
        <v>1.178092</v>
      </c>
      <c r="F20" s="115">
        <v>3</v>
      </c>
      <c r="G20" s="115">
        <v>6</v>
      </c>
      <c r="H20" s="115">
        <v>242</v>
      </c>
      <c r="I20" s="115">
        <v>256</v>
      </c>
      <c r="J20" s="115">
        <v>48</v>
      </c>
      <c r="K20" s="117">
        <f t="shared" si="7"/>
        <v>613</v>
      </c>
      <c r="L20" s="115">
        <f t="shared" si="0"/>
        <v>13</v>
      </c>
      <c r="M20" s="170">
        <f t="shared" si="1"/>
        <v>1.6976602845957702</v>
      </c>
      <c r="N20" s="170">
        <f t="shared" si="2"/>
        <v>40.74384683029849</v>
      </c>
      <c r="O20" s="118">
        <f t="shared" si="3"/>
        <v>3.3953205691915405</v>
      </c>
      <c r="P20" s="118">
        <f t="shared" si="8"/>
        <v>11.034791849872507</v>
      </c>
      <c r="Q20" s="118">
        <f t="shared" si="4"/>
        <v>8.488301422978852</v>
      </c>
      <c r="R20" s="115">
        <f t="shared" si="5"/>
        <v>725.7497716646918</v>
      </c>
      <c r="S20" s="115">
        <f t="shared" si="6"/>
        <v>85.5</v>
      </c>
      <c r="T20" s="25"/>
      <c r="U20" s="81"/>
      <c r="V20" s="77"/>
      <c r="W20" s="29"/>
      <c r="X20" s="16"/>
      <c r="Z20" s="26"/>
      <c r="AA20" s="34"/>
      <c r="AB20" s="34"/>
      <c r="AC20" s="34"/>
    </row>
    <row r="21" spans="1:24" ht="12.75">
      <c r="A21" s="113"/>
      <c r="B21" s="119"/>
      <c r="C21" s="119"/>
      <c r="D21" s="119"/>
      <c r="E21" s="120"/>
      <c r="F21" s="115"/>
      <c r="G21" s="115"/>
      <c r="H21" s="115"/>
      <c r="I21" s="115"/>
      <c r="J21" s="115"/>
      <c r="K21" s="117"/>
      <c r="L21" s="115"/>
      <c r="M21" s="170"/>
      <c r="N21" s="170"/>
      <c r="O21" s="118"/>
      <c r="P21" s="118"/>
      <c r="Q21" s="118"/>
      <c r="R21" s="115"/>
      <c r="S21" s="115"/>
      <c r="U21" s="76"/>
      <c r="V21" s="81"/>
      <c r="W21" s="29"/>
      <c r="X21" s="16"/>
    </row>
    <row r="22" spans="1:24" ht="13.5" thickBot="1">
      <c r="A22" s="135" t="s">
        <v>84</v>
      </c>
      <c r="B22" s="121">
        <f aca="true" t="shared" si="9" ref="B22:J22">SUM(B5:B21)</f>
        <v>28</v>
      </c>
      <c r="C22" s="121">
        <f t="shared" si="9"/>
        <v>91</v>
      </c>
      <c r="D22" s="121">
        <f t="shared" si="9"/>
        <v>4331</v>
      </c>
      <c r="E22" s="122">
        <f t="shared" si="9"/>
        <v>11.966761</v>
      </c>
      <c r="F22" s="121">
        <f t="shared" si="9"/>
        <v>83</v>
      </c>
      <c r="G22" s="121">
        <f t="shared" si="9"/>
        <v>90</v>
      </c>
      <c r="H22" s="121">
        <f t="shared" si="9"/>
        <v>4086</v>
      </c>
      <c r="I22" s="121">
        <f t="shared" si="9"/>
        <v>635</v>
      </c>
      <c r="J22" s="121">
        <f t="shared" si="9"/>
        <v>300</v>
      </c>
      <c r="K22" s="121">
        <f>D22+I22</f>
        <v>4966</v>
      </c>
      <c r="L22" s="121">
        <f>C22+G22+F22</f>
        <v>264</v>
      </c>
      <c r="M22" s="172">
        <f>IF(B22="",0,B22/E22)</f>
        <v>2.3398144243041203</v>
      </c>
      <c r="N22" s="172">
        <f>IF(J22="",0,J22/E22)</f>
        <v>25.06944026040129</v>
      </c>
      <c r="O22" s="123">
        <f>IF(E22="",0,C22/E22)</f>
        <v>7.604396878988391</v>
      </c>
      <c r="P22" s="123">
        <f>IF(E22="",0,L22/E22)</f>
        <v>22.061107429153136</v>
      </c>
      <c r="Q22" s="123">
        <f>IF(E22="",0,(C22+G22)/E22)</f>
        <v>15.125228957108778</v>
      </c>
      <c r="R22" s="121">
        <f>IF(E22="",0,(K22+H22)/E22)</f>
        <v>756.4285774571749</v>
      </c>
      <c r="S22" s="121">
        <f t="shared" si="6"/>
        <v>50.011049723756905</v>
      </c>
      <c r="W22" s="29"/>
      <c r="X22" s="16"/>
    </row>
    <row r="23" spans="1:24" ht="12.75">
      <c r="A23" s="38"/>
      <c r="B23" s="40"/>
      <c r="C23" s="40"/>
      <c r="D23" s="40"/>
      <c r="E23" s="106"/>
      <c r="F23" s="42"/>
      <c r="G23" s="42"/>
      <c r="H23" s="42"/>
      <c r="I23" s="42"/>
      <c r="J23" s="42"/>
      <c r="K23" s="42"/>
      <c r="L23" s="41"/>
      <c r="M23" s="173"/>
      <c r="N23" s="173"/>
      <c r="O23" s="98"/>
      <c r="P23" s="50"/>
      <c r="Q23" s="50"/>
      <c r="R23" s="41"/>
      <c r="S23" s="41"/>
      <c r="W23" s="29"/>
      <c r="X23" s="16"/>
    </row>
    <row r="24" spans="1:24" ht="12.75">
      <c r="A24" s="16"/>
      <c r="B24" s="101"/>
      <c r="C24" s="101"/>
      <c r="D24" s="101"/>
      <c r="E24" s="107"/>
      <c r="F24" s="101"/>
      <c r="G24" s="101"/>
      <c r="H24" s="101"/>
      <c r="I24" s="101"/>
      <c r="J24" s="101"/>
      <c r="K24" s="101"/>
      <c r="L24" s="101"/>
      <c r="M24" s="174"/>
      <c r="N24" s="174"/>
      <c r="O24" s="112"/>
      <c r="P24" s="112"/>
      <c r="Q24" s="112"/>
      <c r="R24" s="101"/>
      <c r="S24" s="101"/>
      <c r="W24" s="16"/>
      <c r="X24" s="16"/>
    </row>
    <row r="25" spans="2:19" ht="12.75">
      <c r="B25" s="101"/>
      <c r="C25" s="101"/>
      <c r="D25" s="101"/>
      <c r="E25" s="107"/>
      <c r="F25" s="101"/>
      <c r="G25" s="101"/>
      <c r="H25" s="101"/>
      <c r="I25" s="101"/>
      <c r="J25" s="101"/>
      <c r="K25" s="101"/>
      <c r="L25" s="101"/>
      <c r="M25" s="174"/>
      <c r="N25" s="174"/>
      <c r="O25" s="112"/>
      <c r="P25" s="112"/>
      <c r="Q25" s="112"/>
      <c r="R25" s="101"/>
      <c r="S25" s="101"/>
    </row>
    <row r="26" spans="2:11" ht="12.75">
      <c r="B26" s="102"/>
      <c r="C26" s="102"/>
      <c r="D26" s="102"/>
      <c r="E26" s="108"/>
      <c r="J26" s="101"/>
      <c r="K26" s="101"/>
    </row>
    <row r="27" spans="1:11" ht="12.75">
      <c r="A27" s="5"/>
      <c r="B27" s="103"/>
      <c r="C27" s="103"/>
      <c r="D27" s="103"/>
      <c r="E27" s="109"/>
      <c r="J27" s="101"/>
      <c r="K27" s="101"/>
    </row>
    <row r="28" spans="1:11" ht="12.75">
      <c r="A28" s="5"/>
      <c r="B28" s="102"/>
      <c r="C28" s="102"/>
      <c r="D28" s="102"/>
      <c r="E28" s="108"/>
      <c r="J28" s="101"/>
      <c r="K28" s="101"/>
    </row>
    <row r="29" spans="1:11" ht="12.75">
      <c r="A29" s="5"/>
      <c r="B29" s="102"/>
      <c r="C29" s="102"/>
      <c r="D29" s="102"/>
      <c r="E29" s="108"/>
      <c r="J29" s="101"/>
      <c r="K29" s="101"/>
    </row>
    <row r="30" spans="1:11" ht="12.75">
      <c r="A30" s="7"/>
      <c r="B30" s="102"/>
      <c r="C30" s="102"/>
      <c r="D30" s="102"/>
      <c r="E30" s="108"/>
      <c r="J30" s="101"/>
      <c r="K30" s="101"/>
    </row>
    <row r="31" spans="1:11" ht="12.75">
      <c r="A31" s="70"/>
      <c r="J31" s="101"/>
      <c r="K31" s="101"/>
    </row>
    <row r="32" spans="1:11" ht="12.75">
      <c r="A32" s="70"/>
      <c r="J32" s="101"/>
      <c r="K32" s="101"/>
    </row>
    <row r="33" spans="1:11" ht="12.75">
      <c r="A33" s="70"/>
      <c r="J33" s="101"/>
      <c r="K33" s="101"/>
    </row>
    <row r="34" spans="1:5" ht="12.75">
      <c r="A34" s="70"/>
      <c r="B34" s="102"/>
      <c r="C34" s="102"/>
      <c r="D34" s="102"/>
      <c r="E34" s="108"/>
    </row>
    <row r="35" spans="1:5" ht="12.75">
      <c r="A35" s="70"/>
      <c r="B35" s="102"/>
      <c r="C35" s="102"/>
      <c r="D35" s="102"/>
      <c r="E35" s="108"/>
    </row>
    <row r="36" ht="12.75">
      <c r="A36" s="70"/>
    </row>
    <row r="37" spans="1:5" ht="12.75">
      <c r="A37" s="78"/>
      <c r="B37" s="102"/>
      <c r="C37" s="102"/>
      <c r="D37" s="102"/>
      <c r="E37" s="108"/>
    </row>
    <row r="38" ht="12.75">
      <c r="A38" s="70"/>
    </row>
    <row r="39" ht="12.75">
      <c r="A39" s="79"/>
    </row>
    <row r="40" spans="1:5" ht="12.75">
      <c r="A40" s="70"/>
      <c r="B40" s="102"/>
      <c r="C40" s="102"/>
      <c r="D40" s="102"/>
      <c r="E40" s="108"/>
    </row>
    <row r="41" spans="1:5" ht="12.75">
      <c r="A41" s="70"/>
      <c r="B41" s="102"/>
      <c r="C41" s="102"/>
      <c r="D41" s="102"/>
      <c r="E41" s="108"/>
    </row>
    <row r="42" spans="1:5" ht="12.75">
      <c r="A42" s="70"/>
      <c r="B42" s="102"/>
      <c r="C42" s="102"/>
      <c r="D42" s="102"/>
      <c r="E42" s="108"/>
    </row>
    <row r="43" spans="1:5" ht="12.75">
      <c r="A43" s="70"/>
      <c r="B43" s="102"/>
      <c r="C43" s="102"/>
      <c r="D43" s="102"/>
      <c r="E43" s="108"/>
    </row>
    <row r="44" spans="1:5" ht="12.75">
      <c r="A44" s="79"/>
      <c r="B44" s="102"/>
      <c r="C44" s="102"/>
      <c r="D44" s="102"/>
      <c r="E44" s="108"/>
    </row>
    <row r="45" ht="12.75">
      <c r="A45" s="79"/>
    </row>
    <row r="46" ht="12.75">
      <c r="A46" s="70"/>
    </row>
    <row r="47" spans="1:5" ht="12.75">
      <c r="A47" s="70"/>
      <c r="B47" s="102"/>
      <c r="C47" s="102"/>
      <c r="D47" s="102"/>
      <c r="E47" s="108"/>
    </row>
    <row r="48" ht="12.75">
      <c r="A48" s="79"/>
    </row>
    <row r="49" ht="12.75">
      <c r="A49" s="70"/>
    </row>
    <row r="50" spans="1:5" ht="12.75">
      <c r="A50" s="70"/>
      <c r="B50" s="102"/>
      <c r="C50" s="102"/>
      <c r="D50" s="102"/>
      <c r="E50" s="108"/>
    </row>
    <row r="51" ht="12.75">
      <c r="A51" s="70"/>
    </row>
    <row r="52" ht="12.75">
      <c r="A52" s="70"/>
    </row>
    <row r="53" spans="1:5" ht="12.75">
      <c r="A53" s="70"/>
      <c r="B53" s="102"/>
      <c r="C53" s="102"/>
      <c r="D53" s="102"/>
      <c r="E53" s="108"/>
    </row>
    <row r="54" spans="1:5" ht="12.75">
      <c r="A54" s="70"/>
      <c r="B54" s="102"/>
      <c r="C54" s="102"/>
      <c r="D54" s="102"/>
      <c r="E54" s="108"/>
    </row>
    <row r="55" ht="12.75">
      <c r="A55" s="70"/>
    </row>
    <row r="56" ht="12.75">
      <c r="A56" s="70"/>
    </row>
    <row r="57" spans="1:5" ht="12.75">
      <c r="A57" s="78"/>
      <c r="B57" s="102"/>
      <c r="C57" s="102"/>
      <c r="D57" s="102"/>
      <c r="E57" s="108"/>
    </row>
    <row r="58" spans="1:5" ht="12.75">
      <c r="A58" s="70"/>
      <c r="B58" s="102"/>
      <c r="C58" s="102"/>
      <c r="D58" s="102"/>
      <c r="E58" s="108"/>
    </row>
    <row r="59" spans="1:5" ht="12.75">
      <c r="A59" s="79"/>
      <c r="B59" s="102"/>
      <c r="C59" s="102"/>
      <c r="D59" s="102"/>
      <c r="E59" s="108"/>
    </row>
    <row r="60" ht="12.75">
      <c r="A60" s="78"/>
    </row>
    <row r="61" spans="1:5" ht="12.75">
      <c r="A61" s="70"/>
      <c r="B61" s="102"/>
      <c r="C61" s="102"/>
      <c r="D61" s="102"/>
      <c r="E61" s="108"/>
    </row>
    <row r="62" ht="12.75">
      <c r="A62" s="79"/>
    </row>
    <row r="63" ht="12.75">
      <c r="A63" s="78"/>
    </row>
    <row r="64" spans="1:5" ht="12.75">
      <c r="A64" s="70"/>
      <c r="B64" s="102"/>
      <c r="C64" s="102"/>
      <c r="D64" s="102"/>
      <c r="E64" s="108"/>
    </row>
    <row r="65" ht="12.75">
      <c r="A65" s="79"/>
    </row>
    <row r="66" spans="1:5" ht="12.75">
      <c r="A66" s="70"/>
      <c r="B66" s="102"/>
      <c r="C66" s="102"/>
      <c r="D66" s="102"/>
      <c r="E66" s="108"/>
    </row>
    <row r="67" spans="1:5" ht="12.75">
      <c r="A67" s="79"/>
      <c r="B67" s="102"/>
      <c r="C67" s="102"/>
      <c r="D67" s="102"/>
      <c r="E67" s="108"/>
    </row>
    <row r="68" ht="12.75">
      <c r="A68" s="79"/>
    </row>
    <row r="69" ht="12.75">
      <c r="A69" s="70"/>
    </row>
    <row r="70" ht="12.75">
      <c r="A70" s="70"/>
    </row>
    <row r="71" ht="12.75">
      <c r="A71" s="79"/>
    </row>
    <row r="72" ht="12.75">
      <c r="A72" s="70"/>
    </row>
    <row r="73" ht="12.75">
      <c r="A73" s="79"/>
    </row>
    <row r="153" spans="2:5" ht="12.75">
      <c r="B153" s="102"/>
      <c r="C153" s="102"/>
      <c r="D153" s="102"/>
      <c r="E153" s="108"/>
    </row>
    <row r="154" spans="1:5" ht="12.75">
      <c r="A154" s="5"/>
      <c r="B154" s="103"/>
      <c r="C154" s="103"/>
      <c r="D154" s="103"/>
      <c r="E154" s="109"/>
    </row>
    <row r="155" spans="1:5" ht="12.75">
      <c r="A155" s="5"/>
      <c r="B155" s="102"/>
      <c r="C155" s="102"/>
      <c r="D155" s="102"/>
      <c r="E155" s="108"/>
    </row>
    <row r="156" spans="1:5" ht="12.75">
      <c r="A156" s="5"/>
      <c r="B156" s="102"/>
      <c r="C156" s="102"/>
      <c r="D156" s="102"/>
      <c r="E156" s="108"/>
    </row>
    <row r="157" spans="2:5" ht="12.75">
      <c r="B157" s="102"/>
      <c r="C157" s="102"/>
      <c r="D157" s="102"/>
      <c r="E157" s="108"/>
    </row>
    <row r="158" ht="12.75">
      <c r="A158" s="79"/>
    </row>
    <row r="159" ht="12.75">
      <c r="A159" s="70"/>
    </row>
    <row r="160" ht="12.75">
      <c r="A160" s="70"/>
    </row>
    <row r="161" ht="12.75">
      <c r="A161" s="79"/>
    </row>
    <row r="162" ht="12.75">
      <c r="A162" s="79"/>
    </row>
    <row r="163" ht="12.75">
      <c r="A163" s="70"/>
    </row>
    <row r="164" ht="12.75">
      <c r="A164" s="70"/>
    </row>
    <row r="165" ht="12.75">
      <c r="A165" s="70"/>
    </row>
    <row r="166" ht="12.75">
      <c r="A166" s="70"/>
    </row>
    <row r="167" ht="12.75">
      <c r="A167" s="70"/>
    </row>
    <row r="168" ht="12.75">
      <c r="A168" s="70"/>
    </row>
    <row r="169" ht="12.75">
      <c r="A169" s="70"/>
    </row>
    <row r="170" ht="12.75">
      <c r="A170" s="70"/>
    </row>
    <row r="171" ht="12.75">
      <c r="A171" s="70"/>
    </row>
    <row r="172" ht="12.75">
      <c r="A172" s="70"/>
    </row>
    <row r="173" ht="12.75">
      <c r="A173" s="70"/>
    </row>
    <row r="174" ht="12.75">
      <c r="A174" s="70"/>
    </row>
    <row r="175" ht="12.75">
      <c r="A175" s="78"/>
    </row>
    <row r="176" ht="12.75">
      <c r="A176" s="79"/>
    </row>
    <row r="177" ht="12.75">
      <c r="A177" s="70"/>
    </row>
    <row r="178" ht="12.75">
      <c r="A178" s="70"/>
    </row>
    <row r="179" ht="12.75">
      <c r="A179" s="70"/>
    </row>
    <row r="180" ht="12.75">
      <c r="A180" s="70"/>
    </row>
    <row r="181" ht="12.75">
      <c r="A181" s="70"/>
    </row>
    <row r="182" ht="12.75">
      <c r="A182" s="70"/>
    </row>
    <row r="183" ht="12.75">
      <c r="A183" s="78"/>
    </row>
    <row r="184" ht="12.75">
      <c r="A184" s="79"/>
    </row>
    <row r="185" ht="12.75">
      <c r="A185" s="70"/>
    </row>
    <row r="186" ht="12.75">
      <c r="A186" s="78"/>
    </row>
    <row r="187" ht="12.75">
      <c r="A187" s="70"/>
    </row>
    <row r="188" ht="12.75">
      <c r="A188" s="78"/>
    </row>
    <row r="189" ht="12.75">
      <c r="A189" s="79"/>
    </row>
    <row r="190" ht="12.75">
      <c r="A190" s="70"/>
    </row>
    <row r="191" ht="12.75">
      <c r="A191" s="70"/>
    </row>
    <row r="192" ht="12.75">
      <c r="A192" s="79"/>
    </row>
    <row r="193" ht="12.75">
      <c r="A193" s="70"/>
    </row>
    <row r="194" ht="12.75">
      <c r="A194" s="79"/>
    </row>
    <row r="195" ht="12.75">
      <c r="A195" s="79"/>
    </row>
    <row r="196" ht="12.75">
      <c r="A196" s="70"/>
    </row>
    <row r="197" ht="12.75">
      <c r="A197" s="79"/>
    </row>
    <row r="198" ht="12.75">
      <c r="A198" s="79"/>
    </row>
    <row r="199" ht="12.75">
      <c r="A199" s="70"/>
    </row>
    <row r="200" ht="12.75">
      <c r="A200" s="70"/>
    </row>
  </sheetData>
  <sheetProtection/>
  <printOptions/>
  <pageMargins left="0.7" right="0.7" top="0.75" bottom="0.75" header="0.3" footer="0.3"/>
  <pageSetup fitToWidth="0" fitToHeight="1" horizontalDpi="600" verticalDpi="600" orientation="landscape" paperSize="9" r:id="rId1"/>
  <ignoredErrors>
    <ignoredError sqref="D22:J22 B22" emptyCellReferenc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I199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0.140625" style="0" customWidth="1"/>
    <col min="2" max="2" width="9.7109375" style="157" customWidth="1"/>
    <col min="3" max="4" width="9.7109375" style="99" customWidth="1"/>
    <col min="5" max="5" width="9.7109375" style="104" customWidth="1"/>
    <col min="6" max="12" width="9.7109375" style="99" customWidth="1"/>
    <col min="13" max="14" width="9.7109375" style="168" customWidth="1"/>
    <col min="15" max="16" width="9.7109375" style="110" customWidth="1"/>
    <col min="17" max="17" width="10.28125" style="110" customWidth="1"/>
    <col min="18" max="19" width="9.7109375" style="99" customWidth="1"/>
    <col min="21" max="21" width="9.8515625" style="0" customWidth="1"/>
    <col min="25" max="25" width="17.8515625" style="0" customWidth="1"/>
  </cols>
  <sheetData>
    <row r="1" spans="1:2" ht="12.75">
      <c r="A1" s="14" t="s">
        <v>91</v>
      </c>
      <c r="B1" s="154"/>
    </row>
    <row r="2" spans="1:19" ht="13.5">
      <c r="A2" s="124" t="s">
        <v>85</v>
      </c>
      <c r="B2" s="155"/>
      <c r="C2" s="100"/>
      <c r="D2" s="100"/>
      <c r="E2" s="105"/>
      <c r="F2" s="100"/>
      <c r="G2" s="100"/>
      <c r="H2" s="100"/>
      <c r="I2" s="100"/>
      <c r="J2" s="100"/>
      <c r="K2" s="100"/>
      <c r="L2" s="100"/>
      <c r="M2" s="169"/>
      <c r="N2" s="169"/>
      <c r="O2" s="111"/>
      <c r="P2" s="111"/>
      <c r="Q2" s="111"/>
      <c r="R2" s="100"/>
      <c r="S2" s="100"/>
    </row>
    <row r="3" spans="1:21" ht="12.75">
      <c r="A3" s="125" t="s">
        <v>29</v>
      </c>
      <c r="B3" s="156"/>
      <c r="C3" s="100"/>
      <c r="D3" s="100"/>
      <c r="E3" s="105"/>
      <c r="F3" s="100"/>
      <c r="G3" s="100"/>
      <c r="H3" s="100"/>
      <c r="I3" s="100"/>
      <c r="J3" s="100"/>
      <c r="K3" s="100"/>
      <c r="L3" s="100"/>
      <c r="M3" s="169"/>
      <c r="N3" s="169"/>
      <c r="O3" s="111"/>
      <c r="P3" s="111"/>
      <c r="Q3" s="111"/>
      <c r="R3" s="100"/>
      <c r="S3" s="100"/>
      <c r="T3" s="3"/>
      <c r="U3" s="3"/>
    </row>
    <row r="4" spans="1:35" ht="39">
      <c r="A4" s="136" t="s">
        <v>0</v>
      </c>
      <c r="B4" s="149" t="s">
        <v>90</v>
      </c>
      <c r="C4" s="137" t="s">
        <v>11</v>
      </c>
      <c r="D4" s="137" t="s">
        <v>31</v>
      </c>
      <c r="E4" s="146" t="s">
        <v>82</v>
      </c>
      <c r="F4" s="137" t="s">
        <v>18</v>
      </c>
      <c r="G4" s="137" t="s">
        <v>17</v>
      </c>
      <c r="H4" s="137" t="s">
        <v>32</v>
      </c>
      <c r="I4" s="137" t="s">
        <v>33</v>
      </c>
      <c r="J4" s="137" t="s">
        <v>19</v>
      </c>
      <c r="K4" s="137" t="s">
        <v>34</v>
      </c>
      <c r="L4" s="137" t="s">
        <v>15</v>
      </c>
      <c r="M4" s="165" t="s">
        <v>92</v>
      </c>
      <c r="N4" s="177" t="s">
        <v>93</v>
      </c>
      <c r="O4" s="139" t="s">
        <v>20</v>
      </c>
      <c r="P4" s="139" t="s">
        <v>16</v>
      </c>
      <c r="Q4" s="147" t="s">
        <v>81</v>
      </c>
      <c r="R4" s="148" t="s">
        <v>80</v>
      </c>
      <c r="S4" s="148" t="s">
        <v>79</v>
      </c>
      <c r="T4" s="61"/>
      <c r="U4" s="61"/>
      <c r="V4" s="62"/>
      <c r="W4" s="62"/>
      <c r="X4" s="62"/>
      <c r="Y4" s="63"/>
      <c r="Z4" s="63"/>
      <c r="AI4" s="64"/>
    </row>
    <row r="5" spans="2:35" ht="12.75">
      <c r="B5" s="153"/>
      <c r="C5"/>
      <c r="D5"/>
      <c r="E5"/>
      <c r="F5"/>
      <c r="G5"/>
      <c r="H5"/>
      <c r="I5"/>
      <c r="J5"/>
      <c r="K5"/>
      <c r="L5"/>
      <c r="M5" s="166"/>
      <c r="N5" s="166"/>
      <c r="O5"/>
      <c r="P5"/>
      <c r="Q5"/>
      <c r="R5" s="178"/>
      <c r="S5"/>
      <c r="T5" s="61"/>
      <c r="U5" s="61"/>
      <c r="V5" s="62"/>
      <c r="W5" s="62"/>
      <c r="X5" s="62"/>
      <c r="Y5" s="63"/>
      <c r="Z5" s="63"/>
      <c r="AI5" s="3"/>
    </row>
    <row r="6" spans="1:29" ht="12.75">
      <c r="A6" s="114" t="s">
        <v>13</v>
      </c>
      <c r="B6" s="150">
        <v>0</v>
      </c>
      <c r="C6" s="115">
        <v>0</v>
      </c>
      <c r="D6" s="115">
        <v>0</v>
      </c>
      <c r="E6" s="130">
        <v>0.004044</v>
      </c>
      <c r="F6" s="115">
        <v>0</v>
      </c>
      <c r="G6" s="115">
        <v>0</v>
      </c>
      <c r="H6" s="115">
        <v>0</v>
      </c>
      <c r="I6" s="115">
        <v>0</v>
      </c>
      <c r="J6" s="115">
        <v>0</v>
      </c>
      <c r="K6" s="127">
        <f>D6+I6</f>
        <v>0</v>
      </c>
      <c r="L6" s="126">
        <f>C6+G6+F6</f>
        <v>0</v>
      </c>
      <c r="M6" s="167">
        <f aca="true" t="shared" si="0" ref="M6:M19">IF(B6="",0,B6/E6)</f>
        <v>0</v>
      </c>
      <c r="N6" s="167">
        <f aca="true" t="shared" si="1" ref="N6:N19">IF(J6="",0,J6/E6)</f>
        <v>0</v>
      </c>
      <c r="O6" s="128">
        <f>IF(E6="",0,C6/E6)</f>
        <v>0</v>
      </c>
      <c r="P6" s="128">
        <f>IF(E6="",0,L6/E6)</f>
        <v>0</v>
      </c>
      <c r="Q6" s="128">
        <f>IF(E6="",0,(C6+G6)/E6)</f>
        <v>0</v>
      </c>
      <c r="R6" s="126">
        <f aca="true" t="shared" si="2" ref="R6:R19">IF(E6="",0,(K6+H6)/E6)</f>
        <v>0</v>
      </c>
      <c r="S6" s="126">
        <f>IF((C6+G6)=0,0,(K6+H6)/(C6+G6))</f>
        <v>0</v>
      </c>
      <c r="T6" s="25"/>
      <c r="U6" s="76"/>
      <c r="V6" s="77"/>
      <c r="W6" s="29"/>
      <c r="X6" s="16"/>
      <c r="Z6" s="4"/>
      <c r="AA6" s="13"/>
      <c r="AB6" s="13"/>
      <c r="AC6" s="13"/>
    </row>
    <row r="7" spans="1:29" ht="12.75">
      <c r="A7" s="114" t="s">
        <v>24</v>
      </c>
      <c r="B7" s="150">
        <v>6</v>
      </c>
      <c r="C7" s="115">
        <v>8</v>
      </c>
      <c r="D7" s="115">
        <v>214</v>
      </c>
      <c r="E7" s="130">
        <v>1.41926</v>
      </c>
      <c r="F7" s="115">
        <v>4</v>
      </c>
      <c r="G7" s="115">
        <v>20</v>
      </c>
      <c r="H7" s="115">
        <v>617</v>
      </c>
      <c r="I7" s="115">
        <v>179</v>
      </c>
      <c r="J7" s="115">
        <v>25</v>
      </c>
      <c r="K7" s="127">
        <f aca="true" t="shared" si="3" ref="K7:K19">D7+I7</f>
        <v>393</v>
      </c>
      <c r="L7" s="126">
        <f aca="true" t="shared" si="4" ref="L7:L19">C7+G7+F7</f>
        <v>32</v>
      </c>
      <c r="M7" s="175">
        <f t="shared" si="0"/>
        <v>4.22755520482505</v>
      </c>
      <c r="N7" s="175">
        <f t="shared" si="1"/>
        <v>17.614813353437707</v>
      </c>
      <c r="O7" s="128">
        <f aca="true" t="shared" si="5" ref="O7:O19">IF(E7="",0,C7/E7)</f>
        <v>5.636740273100067</v>
      </c>
      <c r="P7" s="128">
        <f aca="true" t="shared" si="6" ref="P7:P19">IF(E7="",0,L7/E7)</f>
        <v>22.546961092400267</v>
      </c>
      <c r="Q7" s="128">
        <f aca="true" t="shared" si="7" ref="Q7:Q19">IF(E7="",0,(C7+G7)/E7)</f>
        <v>19.728590955850233</v>
      </c>
      <c r="R7" s="126">
        <f t="shared" si="2"/>
        <v>711.6384594788834</v>
      </c>
      <c r="S7" s="126">
        <f aca="true" t="shared" si="8" ref="S7:S19">IF((C7+G7)=0,0,(D7+H7)/(C7+G7))</f>
        <v>29.678571428571427</v>
      </c>
      <c r="T7" s="25"/>
      <c r="U7" s="76"/>
      <c r="V7" s="77"/>
      <c r="W7" s="29"/>
      <c r="X7" s="16"/>
      <c r="Z7" s="4"/>
      <c r="AA7" s="13"/>
      <c r="AB7" s="13"/>
      <c r="AC7" s="13"/>
    </row>
    <row r="8" spans="1:29" ht="12.75">
      <c r="A8" s="114" t="s">
        <v>75</v>
      </c>
      <c r="B8" s="150">
        <v>0</v>
      </c>
      <c r="C8" s="115">
        <v>5</v>
      </c>
      <c r="D8" s="115">
        <v>197</v>
      </c>
      <c r="E8" s="130">
        <v>0.989176</v>
      </c>
      <c r="F8" s="115">
        <v>10</v>
      </c>
      <c r="G8" s="115">
        <v>0</v>
      </c>
      <c r="H8" s="115">
        <v>0</v>
      </c>
      <c r="I8" s="115">
        <v>70</v>
      </c>
      <c r="J8" s="115">
        <v>20</v>
      </c>
      <c r="K8" s="127">
        <f t="shared" si="3"/>
        <v>267</v>
      </c>
      <c r="L8" s="126">
        <f t="shared" si="4"/>
        <v>15</v>
      </c>
      <c r="M8" s="175">
        <f t="shared" si="0"/>
        <v>0</v>
      </c>
      <c r="N8" s="175">
        <f t="shared" si="1"/>
        <v>20.218848819623606</v>
      </c>
      <c r="O8" s="128">
        <f t="shared" si="5"/>
        <v>5.0547122049059015</v>
      </c>
      <c r="P8" s="128">
        <f t="shared" si="6"/>
        <v>15.164136614717703</v>
      </c>
      <c r="Q8" s="128">
        <f t="shared" si="7"/>
        <v>5.0547122049059015</v>
      </c>
      <c r="R8" s="126">
        <f t="shared" si="2"/>
        <v>269.92163174197515</v>
      </c>
      <c r="S8" s="126">
        <f t="shared" si="8"/>
        <v>39.4</v>
      </c>
      <c r="T8" s="25"/>
      <c r="U8" s="76"/>
      <c r="V8" s="77"/>
      <c r="W8" s="29"/>
      <c r="X8" s="25"/>
      <c r="Y8" s="16"/>
      <c r="Z8" s="4"/>
      <c r="AA8" s="13"/>
      <c r="AB8" s="13"/>
      <c r="AC8" s="13"/>
    </row>
    <row r="9" spans="1:29" ht="12.75">
      <c r="A9" s="114" t="s">
        <v>1</v>
      </c>
      <c r="B9" s="150">
        <v>1</v>
      </c>
      <c r="C9" s="115">
        <v>2</v>
      </c>
      <c r="D9" s="115">
        <v>54</v>
      </c>
      <c r="E9" s="130">
        <v>0.170138</v>
      </c>
      <c r="F9" s="115">
        <v>3</v>
      </c>
      <c r="G9" s="115">
        <v>1</v>
      </c>
      <c r="H9" s="115">
        <v>0</v>
      </c>
      <c r="I9" s="115">
        <v>21</v>
      </c>
      <c r="J9" s="115">
        <v>6</v>
      </c>
      <c r="K9" s="127">
        <f t="shared" si="3"/>
        <v>75</v>
      </c>
      <c r="L9" s="126">
        <f t="shared" si="4"/>
        <v>6</v>
      </c>
      <c r="M9" s="175">
        <f t="shared" si="0"/>
        <v>5.877581727773924</v>
      </c>
      <c r="N9" s="175">
        <f t="shared" si="1"/>
        <v>35.26549036664355</v>
      </c>
      <c r="O9" s="128">
        <f t="shared" si="5"/>
        <v>11.755163455547848</v>
      </c>
      <c r="P9" s="128">
        <f t="shared" si="6"/>
        <v>35.26549036664355</v>
      </c>
      <c r="Q9" s="128">
        <f t="shared" si="7"/>
        <v>17.632745183321774</v>
      </c>
      <c r="R9" s="126">
        <f t="shared" si="2"/>
        <v>440.8186295830443</v>
      </c>
      <c r="S9" s="126">
        <f t="shared" si="8"/>
        <v>18</v>
      </c>
      <c r="T9" s="25"/>
      <c r="U9" s="76"/>
      <c r="V9" s="77"/>
      <c r="W9" s="29"/>
      <c r="X9" s="16"/>
      <c r="Z9" s="4"/>
      <c r="AA9" s="13"/>
      <c r="AB9" s="13"/>
      <c r="AC9" s="13"/>
    </row>
    <row r="10" spans="1:29" ht="12.75">
      <c r="A10" s="114" t="s">
        <v>2</v>
      </c>
      <c r="B10" s="150">
        <v>0</v>
      </c>
      <c r="C10" s="115">
        <v>0</v>
      </c>
      <c r="D10" s="115">
        <v>0</v>
      </c>
      <c r="E10" s="130">
        <v>0.027112</v>
      </c>
      <c r="F10" s="115">
        <v>0</v>
      </c>
      <c r="G10" s="115">
        <v>0</v>
      </c>
      <c r="H10" s="115">
        <v>0</v>
      </c>
      <c r="I10" s="115">
        <v>0</v>
      </c>
      <c r="J10" s="115">
        <v>0</v>
      </c>
      <c r="K10" s="127">
        <f>D10+I10</f>
        <v>0</v>
      </c>
      <c r="L10" s="126">
        <f>C10+G10+F10</f>
        <v>0</v>
      </c>
      <c r="M10" s="175">
        <f t="shared" si="0"/>
        <v>0</v>
      </c>
      <c r="N10" s="175">
        <f t="shared" si="1"/>
        <v>0</v>
      </c>
      <c r="O10" s="128">
        <f>IF(E10="",0,C10/E10)</f>
        <v>0</v>
      </c>
      <c r="P10" s="128">
        <f>IF(E10="",0,L10/E10)</f>
        <v>0</v>
      </c>
      <c r="Q10" s="128">
        <f>IF(E10="",0,(C10+G10)/E10)</f>
        <v>0</v>
      </c>
      <c r="R10" s="126">
        <f t="shared" si="2"/>
        <v>0</v>
      </c>
      <c r="S10" s="126"/>
      <c r="T10" s="25"/>
      <c r="U10" s="76"/>
      <c r="V10" s="77"/>
      <c r="W10" s="29"/>
      <c r="X10" s="16"/>
      <c r="Z10" s="4"/>
      <c r="AA10" s="13"/>
      <c r="AB10" s="13"/>
      <c r="AC10" s="13"/>
    </row>
    <row r="11" spans="1:29" ht="12.75">
      <c r="A11" s="114" t="s">
        <v>76</v>
      </c>
      <c r="B11" s="150">
        <v>0</v>
      </c>
      <c r="C11" s="115">
        <v>0</v>
      </c>
      <c r="D11" s="115">
        <v>0</v>
      </c>
      <c r="E11" s="130">
        <v>0.006871</v>
      </c>
      <c r="F11" s="115">
        <v>0</v>
      </c>
      <c r="G11" s="115">
        <v>0</v>
      </c>
      <c r="H11" s="115">
        <v>0</v>
      </c>
      <c r="I11" s="115">
        <v>0</v>
      </c>
      <c r="J11" s="115">
        <v>0</v>
      </c>
      <c r="K11" s="127">
        <f t="shared" si="3"/>
        <v>0</v>
      </c>
      <c r="L11" s="126">
        <f t="shared" si="4"/>
        <v>0</v>
      </c>
      <c r="M11" s="175">
        <f t="shared" si="0"/>
        <v>0</v>
      </c>
      <c r="N11" s="175">
        <f t="shared" si="1"/>
        <v>0</v>
      </c>
      <c r="O11" s="128">
        <f t="shared" si="5"/>
        <v>0</v>
      </c>
      <c r="P11" s="128">
        <f t="shared" si="6"/>
        <v>0</v>
      </c>
      <c r="Q11" s="128">
        <f t="shared" si="7"/>
        <v>0</v>
      </c>
      <c r="R11" s="126">
        <f t="shared" si="2"/>
        <v>0</v>
      </c>
      <c r="S11" s="126">
        <f t="shared" si="8"/>
        <v>0</v>
      </c>
      <c r="T11" s="25"/>
      <c r="U11" s="76"/>
      <c r="V11" s="77"/>
      <c r="W11" s="25"/>
      <c r="Z11" s="4"/>
      <c r="AA11" s="13"/>
      <c r="AB11" s="13"/>
      <c r="AC11" s="13"/>
    </row>
    <row r="12" spans="1:29" ht="12.75">
      <c r="A12" s="114" t="s">
        <v>77</v>
      </c>
      <c r="B12" s="150">
        <v>0</v>
      </c>
      <c r="C12" s="115">
        <v>0</v>
      </c>
      <c r="D12" s="115">
        <v>0</v>
      </c>
      <c r="E12" s="130">
        <v>0.7124</v>
      </c>
      <c r="F12" s="115">
        <v>62</v>
      </c>
      <c r="G12" s="115">
        <v>8</v>
      </c>
      <c r="H12" s="115">
        <v>1106</v>
      </c>
      <c r="I12" s="115">
        <v>0</v>
      </c>
      <c r="J12" s="115">
        <v>16</v>
      </c>
      <c r="K12" s="127">
        <f t="shared" si="3"/>
        <v>0</v>
      </c>
      <c r="L12" s="126">
        <f t="shared" si="4"/>
        <v>70</v>
      </c>
      <c r="M12" s="175">
        <f t="shared" si="0"/>
        <v>0</v>
      </c>
      <c r="N12" s="175">
        <f t="shared" si="1"/>
        <v>22.459292532285232</v>
      </c>
      <c r="O12" s="128">
        <f t="shared" si="5"/>
        <v>0</v>
      </c>
      <c r="P12" s="128">
        <f t="shared" si="6"/>
        <v>98.25940482874789</v>
      </c>
      <c r="Q12" s="128">
        <f t="shared" si="7"/>
        <v>11.229646266142616</v>
      </c>
      <c r="R12" s="126">
        <f t="shared" si="2"/>
        <v>1552.4985962942167</v>
      </c>
      <c r="S12" s="126">
        <f t="shared" si="8"/>
        <v>138.25</v>
      </c>
      <c r="T12" s="25"/>
      <c r="U12" s="76"/>
      <c r="V12" s="77"/>
      <c r="W12" s="25"/>
      <c r="Z12" s="4"/>
      <c r="AA12" s="13"/>
      <c r="AB12" s="13"/>
      <c r="AC12" s="13"/>
    </row>
    <row r="13" spans="1:29" ht="12.75">
      <c r="A13" s="114" t="s">
        <v>9</v>
      </c>
      <c r="B13" s="150">
        <v>4</v>
      </c>
      <c r="C13" s="115">
        <v>10</v>
      </c>
      <c r="D13" s="115">
        <v>86</v>
      </c>
      <c r="E13" s="130">
        <v>1.45686</v>
      </c>
      <c r="F13" s="115">
        <v>7</v>
      </c>
      <c r="G13" s="115">
        <v>7</v>
      </c>
      <c r="H13" s="115">
        <v>39</v>
      </c>
      <c r="I13" s="115">
        <v>72</v>
      </c>
      <c r="J13" s="115">
        <v>44</v>
      </c>
      <c r="K13" s="127">
        <f t="shared" si="3"/>
        <v>158</v>
      </c>
      <c r="L13" s="126">
        <f t="shared" si="4"/>
        <v>24</v>
      </c>
      <c r="M13" s="175">
        <f t="shared" si="0"/>
        <v>2.7456310146479415</v>
      </c>
      <c r="N13" s="175">
        <f t="shared" si="1"/>
        <v>30.201941161127355</v>
      </c>
      <c r="O13" s="128">
        <f t="shared" si="5"/>
        <v>6.864077536619853</v>
      </c>
      <c r="P13" s="128">
        <f t="shared" si="6"/>
        <v>16.47378608788765</v>
      </c>
      <c r="Q13" s="128">
        <f t="shared" si="7"/>
        <v>11.668931812253751</v>
      </c>
      <c r="R13" s="126">
        <f t="shared" si="2"/>
        <v>135.22232747141112</v>
      </c>
      <c r="S13" s="126">
        <f t="shared" si="8"/>
        <v>7.352941176470588</v>
      </c>
      <c r="T13" s="25"/>
      <c r="U13" s="76"/>
      <c r="V13" s="77"/>
      <c r="W13" s="25"/>
      <c r="Z13" s="4"/>
      <c r="AA13" s="13"/>
      <c r="AB13" s="13"/>
      <c r="AC13" s="13"/>
    </row>
    <row r="14" spans="1:29" ht="12.75">
      <c r="A14" s="114" t="s">
        <v>78</v>
      </c>
      <c r="B14" s="150">
        <v>5</v>
      </c>
      <c r="C14" s="115">
        <v>12</v>
      </c>
      <c r="D14" s="115">
        <v>737</v>
      </c>
      <c r="E14" s="130">
        <v>1.586986</v>
      </c>
      <c r="F14" s="115">
        <v>28</v>
      </c>
      <c r="G14" s="115">
        <v>9</v>
      </c>
      <c r="H14" s="115">
        <v>231</v>
      </c>
      <c r="I14" s="115">
        <v>270</v>
      </c>
      <c r="J14" s="115">
        <v>53</v>
      </c>
      <c r="K14" s="127">
        <f t="shared" si="3"/>
        <v>1007</v>
      </c>
      <c r="L14" s="126">
        <f t="shared" si="4"/>
        <v>49</v>
      </c>
      <c r="M14" s="175">
        <f t="shared" si="0"/>
        <v>3.1506264075423474</v>
      </c>
      <c r="N14" s="175">
        <f t="shared" si="1"/>
        <v>33.39663991994888</v>
      </c>
      <c r="O14" s="128">
        <f t="shared" si="5"/>
        <v>7.5615033781016345</v>
      </c>
      <c r="P14" s="128">
        <f t="shared" si="6"/>
        <v>30.876138793915008</v>
      </c>
      <c r="Q14" s="128">
        <f t="shared" si="7"/>
        <v>13.232630911677859</v>
      </c>
      <c r="R14" s="126">
        <f t="shared" si="2"/>
        <v>780.0950985074852</v>
      </c>
      <c r="S14" s="126">
        <f t="shared" si="8"/>
        <v>46.095238095238095</v>
      </c>
      <c r="T14" s="25"/>
      <c r="U14" s="76"/>
      <c r="V14" s="77"/>
      <c r="W14" s="25"/>
      <c r="Z14" s="4"/>
      <c r="AA14" s="13"/>
      <c r="AB14" s="13"/>
      <c r="AC14" s="13"/>
    </row>
    <row r="15" spans="1:29" ht="12.75">
      <c r="A15" s="114" t="s">
        <v>8</v>
      </c>
      <c r="B15" s="150">
        <v>1</v>
      </c>
      <c r="C15" s="115">
        <v>7</v>
      </c>
      <c r="D15" s="115">
        <v>67</v>
      </c>
      <c r="E15" s="130">
        <v>1.584164</v>
      </c>
      <c r="F15" s="115">
        <v>6</v>
      </c>
      <c r="G15" s="115">
        <v>1</v>
      </c>
      <c r="H15" s="115">
        <v>6</v>
      </c>
      <c r="I15" s="115">
        <v>14</v>
      </c>
      <c r="J15" s="115">
        <v>37</v>
      </c>
      <c r="K15" s="127">
        <f t="shared" si="3"/>
        <v>81</v>
      </c>
      <c r="L15" s="126">
        <f t="shared" si="4"/>
        <v>14</v>
      </c>
      <c r="M15" s="175">
        <f t="shared" si="0"/>
        <v>0.6312477748515937</v>
      </c>
      <c r="N15" s="175">
        <f t="shared" si="1"/>
        <v>23.356167669508967</v>
      </c>
      <c r="O15" s="128">
        <f t="shared" si="5"/>
        <v>4.418734423961156</v>
      </c>
      <c r="P15" s="128">
        <f t="shared" si="6"/>
        <v>8.837468847922311</v>
      </c>
      <c r="Q15" s="128">
        <f t="shared" si="7"/>
        <v>5.049982198812749</v>
      </c>
      <c r="R15" s="126">
        <f t="shared" si="2"/>
        <v>54.91855641208865</v>
      </c>
      <c r="S15" s="126">
        <f t="shared" si="8"/>
        <v>9.125</v>
      </c>
      <c r="T15" s="25"/>
      <c r="U15" s="76"/>
      <c r="V15" s="77"/>
      <c r="W15" s="25"/>
      <c r="Z15" s="4"/>
      <c r="AA15" s="13"/>
      <c r="AB15" s="13"/>
      <c r="AC15" s="13"/>
    </row>
    <row r="16" spans="1:29" ht="12.75">
      <c r="A16" s="114" t="s">
        <v>3</v>
      </c>
      <c r="B16" s="150">
        <v>5</v>
      </c>
      <c r="C16" s="115">
        <v>12</v>
      </c>
      <c r="D16" s="115">
        <v>499</v>
      </c>
      <c r="E16" s="130">
        <v>2.001609</v>
      </c>
      <c r="F16" s="115">
        <v>0</v>
      </c>
      <c r="G16" s="115">
        <v>0</v>
      </c>
      <c r="H16" s="115">
        <v>0</v>
      </c>
      <c r="I16" s="115">
        <v>25</v>
      </c>
      <c r="J16" s="115">
        <v>64</v>
      </c>
      <c r="K16" s="127">
        <f t="shared" si="3"/>
        <v>524</v>
      </c>
      <c r="L16" s="126">
        <f t="shared" si="4"/>
        <v>12</v>
      </c>
      <c r="M16" s="175">
        <f t="shared" si="0"/>
        <v>2.4979903667499492</v>
      </c>
      <c r="N16" s="175">
        <f t="shared" si="1"/>
        <v>31.974276694399354</v>
      </c>
      <c r="O16" s="128">
        <f t="shared" si="5"/>
        <v>5.995176880199879</v>
      </c>
      <c r="P16" s="128">
        <f t="shared" si="6"/>
        <v>5.995176880199879</v>
      </c>
      <c r="Q16" s="128">
        <f t="shared" si="7"/>
        <v>5.995176880199879</v>
      </c>
      <c r="R16" s="126">
        <f t="shared" si="2"/>
        <v>261.7893904353947</v>
      </c>
      <c r="S16" s="126">
        <f t="shared" si="8"/>
        <v>41.583333333333336</v>
      </c>
      <c r="T16" s="25"/>
      <c r="U16" s="76"/>
      <c r="V16" s="77"/>
      <c r="W16" s="29"/>
      <c r="X16" s="16"/>
      <c r="Z16" s="4"/>
      <c r="AA16" s="13"/>
      <c r="AB16" s="13"/>
      <c r="AC16" s="13"/>
    </row>
    <row r="17" spans="1:29" ht="12.75">
      <c r="A17" s="114" t="s">
        <v>4</v>
      </c>
      <c r="B17" s="150">
        <v>2</v>
      </c>
      <c r="C17" s="115">
        <v>3</v>
      </c>
      <c r="D17" s="115">
        <v>134</v>
      </c>
      <c r="E17" s="130">
        <v>1.06464</v>
      </c>
      <c r="F17" s="115">
        <v>4</v>
      </c>
      <c r="G17" s="115">
        <v>5</v>
      </c>
      <c r="H17" s="115">
        <v>90</v>
      </c>
      <c r="I17" s="115">
        <v>32</v>
      </c>
      <c r="J17" s="115">
        <v>46</v>
      </c>
      <c r="K17" s="127">
        <f t="shared" si="3"/>
        <v>166</v>
      </c>
      <c r="L17" s="126">
        <f t="shared" si="4"/>
        <v>12</v>
      </c>
      <c r="M17" s="175">
        <f t="shared" si="0"/>
        <v>1.8785692816351067</v>
      </c>
      <c r="N17" s="175">
        <f t="shared" si="1"/>
        <v>43.20709347760745</v>
      </c>
      <c r="O17" s="128">
        <f t="shared" si="5"/>
        <v>2.81785392245266</v>
      </c>
      <c r="P17" s="128">
        <f t="shared" si="6"/>
        <v>11.27141568981064</v>
      </c>
      <c r="Q17" s="128">
        <f t="shared" si="7"/>
        <v>7.514277126540427</v>
      </c>
      <c r="R17" s="126">
        <f t="shared" si="2"/>
        <v>240.45686804929366</v>
      </c>
      <c r="S17" s="126">
        <f t="shared" si="8"/>
        <v>28</v>
      </c>
      <c r="T17" s="25"/>
      <c r="U17" s="76"/>
      <c r="V17" s="77"/>
      <c r="W17" s="29"/>
      <c r="X17" s="16"/>
      <c r="Z17" s="4"/>
      <c r="AA17" s="13"/>
      <c r="AB17" s="13"/>
      <c r="AC17" s="13"/>
    </row>
    <row r="18" spans="1:29" ht="12.75">
      <c r="A18" s="114" t="s">
        <v>5</v>
      </c>
      <c r="B18" s="150">
        <v>1</v>
      </c>
      <c r="C18" s="115">
        <v>1</v>
      </c>
      <c r="D18" s="115">
        <v>4</v>
      </c>
      <c r="E18" s="130">
        <v>0.198013</v>
      </c>
      <c r="F18" s="115">
        <v>2</v>
      </c>
      <c r="G18" s="115">
        <v>1</v>
      </c>
      <c r="H18" s="115">
        <v>4</v>
      </c>
      <c r="I18" s="115">
        <v>0</v>
      </c>
      <c r="J18" s="115">
        <v>1</v>
      </c>
      <c r="K18" s="127">
        <f t="shared" si="3"/>
        <v>4</v>
      </c>
      <c r="L18" s="126">
        <f t="shared" si="4"/>
        <v>4</v>
      </c>
      <c r="M18" s="175">
        <f t="shared" si="0"/>
        <v>5.0501734734588135</v>
      </c>
      <c r="N18" s="175">
        <f t="shared" si="1"/>
        <v>5.0501734734588135</v>
      </c>
      <c r="O18" s="128">
        <f t="shared" si="5"/>
        <v>5.0501734734588135</v>
      </c>
      <c r="P18" s="128">
        <f t="shared" si="6"/>
        <v>20.200693893835254</v>
      </c>
      <c r="Q18" s="128">
        <f t="shared" si="7"/>
        <v>10.100346946917627</v>
      </c>
      <c r="R18" s="126">
        <f t="shared" si="2"/>
        <v>40.40138778767051</v>
      </c>
      <c r="S18" s="126">
        <f t="shared" si="8"/>
        <v>4</v>
      </c>
      <c r="T18" s="25"/>
      <c r="U18" s="76"/>
      <c r="V18" s="77"/>
      <c r="W18" s="29"/>
      <c r="X18" s="16"/>
      <c r="Z18" s="4"/>
      <c r="AA18" s="13"/>
      <c r="AB18" s="13"/>
      <c r="AC18" s="13"/>
    </row>
    <row r="19" spans="1:29" ht="12.75">
      <c r="A19" s="114" t="s">
        <v>6</v>
      </c>
      <c r="B19" s="150">
        <v>1</v>
      </c>
      <c r="C19" s="115">
        <v>3</v>
      </c>
      <c r="D19" s="115">
        <v>906</v>
      </c>
      <c r="E19" s="130">
        <v>1.054973</v>
      </c>
      <c r="F19" s="115">
        <v>5</v>
      </c>
      <c r="G19" s="115">
        <v>3</v>
      </c>
      <c r="H19" s="115">
        <v>283</v>
      </c>
      <c r="I19" s="115">
        <v>31</v>
      </c>
      <c r="J19" s="115">
        <v>39</v>
      </c>
      <c r="K19" s="127">
        <f t="shared" si="3"/>
        <v>937</v>
      </c>
      <c r="L19" s="126">
        <f t="shared" si="4"/>
        <v>11</v>
      </c>
      <c r="M19" s="175">
        <f t="shared" si="0"/>
        <v>0.9478915574142657</v>
      </c>
      <c r="N19" s="175">
        <f t="shared" si="1"/>
        <v>36.96777073915636</v>
      </c>
      <c r="O19" s="128">
        <f t="shared" si="5"/>
        <v>2.843674672242797</v>
      </c>
      <c r="P19" s="128">
        <f t="shared" si="6"/>
        <v>10.426807131556922</v>
      </c>
      <c r="Q19" s="128">
        <f t="shared" si="7"/>
        <v>5.687349344485594</v>
      </c>
      <c r="R19" s="126">
        <f t="shared" si="2"/>
        <v>1156.427700045404</v>
      </c>
      <c r="S19" s="126">
        <f t="shared" si="8"/>
        <v>198.16666666666666</v>
      </c>
      <c r="T19" s="25"/>
      <c r="U19" s="76"/>
      <c r="V19" s="77"/>
      <c r="W19" s="29"/>
      <c r="X19" s="16"/>
      <c r="Z19" s="4"/>
      <c r="AA19" s="13"/>
      <c r="AB19" s="13"/>
      <c r="AC19" s="13"/>
    </row>
    <row r="20" spans="1:24" ht="12.75">
      <c r="A20" s="113"/>
      <c r="B20" s="152"/>
      <c r="C20" s="129"/>
      <c r="D20" s="129"/>
      <c r="E20" s="131"/>
      <c r="F20" s="126"/>
      <c r="G20" s="126"/>
      <c r="H20" s="126"/>
      <c r="I20" s="126"/>
      <c r="J20" s="126"/>
      <c r="K20" s="127"/>
      <c r="L20" s="126"/>
      <c r="M20" s="175"/>
      <c r="N20" s="175"/>
      <c r="O20" s="128"/>
      <c r="P20" s="128"/>
      <c r="Q20" s="128"/>
      <c r="R20" s="126"/>
      <c r="S20" s="126"/>
      <c r="U20" s="76"/>
      <c r="V20" s="81"/>
      <c r="W20" s="29"/>
      <c r="X20" s="16"/>
    </row>
    <row r="21" spans="1:24" ht="13.5" thickBot="1">
      <c r="A21" s="135" t="s">
        <v>86</v>
      </c>
      <c r="B21" s="132">
        <f aca="true" t="shared" si="9" ref="B21:J21">SUM(B5:B20)</f>
        <v>26</v>
      </c>
      <c r="C21" s="132">
        <f t="shared" si="9"/>
        <v>63</v>
      </c>
      <c r="D21" s="132">
        <f t="shared" si="9"/>
        <v>2898</v>
      </c>
      <c r="E21" s="133">
        <f t="shared" si="9"/>
        <v>12.276246</v>
      </c>
      <c r="F21" s="132">
        <f t="shared" si="9"/>
        <v>131</v>
      </c>
      <c r="G21" s="132">
        <f t="shared" si="9"/>
        <v>55</v>
      </c>
      <c r="H21" s="132">
        <f t="shared" si="9"/>
        <v>2376</v>
      </c>
      <c r="I21" s="132">
        <f t="shared" si="9"/>
        <v>714</v>
      </c>
      <c r="J21" s="132">
        <f t="shared" si="9"/>
        <v>351</v>
      </c>
      <c r="K21" s="132">
        <f>D21+I21</f>
        <v>3612</v>
      </c>
      <c r="L21" s="132">
        <f>C21+G21+F21</f>
        <v>249</v>
      </c>
      <c r="M21" s="176">
        <f>IF(B21="",0,B21/E21)</f>
        <v>2.1179112898193795</v>
      </c>
      <c r="N21" s="176">
        <f>IF(J21="",0,J21/E21)</f>
        <v>28.591802412561623</v>
      </c>
      <c r="O21" s="134">
        <f>IF(E21="",0,C21/E21)</f>
        <v>5.13186197148542</v>
      </c>
      <c r="P21" s="134">
        <f>IF(E21="",0,L21/E21)</f>
        <v>20.283073506347137</v>
      </c>
      <c r="Q21" s="134">
        <f>IF(E21="",0,(C21+G21)/E21)</f>
        <v>9.612058930718723</v>
      </c>
      <c r="R21" s="132">
        <f>IF(E21="",0,(K21+H21)/E21)</f>
        <v>487.7712616707094</v>
      </c>
      <c r="S21" s="132">
        <f>IF((C21+G21)=0,0,(K21+H21)/(C21+G21))</f>
        <v>50.74576271186441</v>
      </c>
      <c r="W21" s="29"/>
      <c r="X21" s="16"/>
    </row>
    <row r="22" spans="1:24" ht="12.75">
      <c r="A22" s="38"/>
      <c r="B22" s="158"/>
      <c r="C22" s="40"/>
      <c r="D22" s="40"/>
      <c r="E22" s="106"/>
      <c r="F22" s="42"/>
      <c r="G22" s="42"/>
      <c r="H22" s="42"/>
      <c r="I22" s="42"/>
      <c r="J22" s="42"/>
      <c r="K22" s="42"/>
      <c r="L22" s="41"/>
      <c r="M22" s="173"/>
      <c r="N22" s="173"/>
      <c r="O22" s="98"/>
      <c r="P22" s="50"/>
      <c r="Q22" s="50"/>
      <c r="R22" s="41"/>
      <c r="S22" s="41"/>
      <c r="W22" s="29"/>
      <c r="X22" s="16"/>
    </row>
    <row r="23" spans="1:24" ht="12.75">
      <c r="A23" s="16"/>
      <c r="B23" s="159"/>
      <c r="C23" s="101"/>
      <c r="D23" s="101"/>
      <c r="E23" s="107"/>
      <c r="F23" s="101"/>
      <c r="G23" s="101"/>
      <c r="H23" s="101"/>
      <c r="I23" s="101"/>
      <c r="J23" s="101"/>
      <c r="K23" s="101"/>
      <c r="L23" s="101"/>
      <c r="M23" s="174"/>
      <c r="N23" s="174"/>
      <c r="O23" s="112"/>
      <c r="P23" s="112"/>
      <c r="Q23" s="112"/>
      <c r="R23" s="101"/>
      <c r="S23" s="101"/>
      <c r="W23" s="16"/>
      <c r="X23" s="16"/>
    </row>
    <row r="24" spans="3:19" ht="12.75">
      <c r="C24" s="101"/>
      <c r="D24" s="101"/>
      <c r="E24" s="107"/>
      <c r="F24" s="101"/>
      <c r="G24" s="101"/>
      <c r="H24" s="101"/>
      <c r="I24" s="101"/>
      <c r="J24" s="101"/>
      <c r="K24" s="101"/>
      <c r="L24" s="101"/>
      <c r="M24" s="174"/>
      <c r="N24" s="174"/>
      <c r="O24" s="112"/>
      <c r="P24" s="112"/>
      <c r="Q24" s="112"/>
      <c r="R24" s="101"/>
      <c r="S24" s="101"/>
    </row>
    <row r="25" spans="3:11" ht="12.75">
      <c r="C25" s="102"/>
      <c r="D25" s="102"/>
      <c r="E25" s="108"/>
      <c r="J25" s="101"/>
      <c r="K25" s="101"/>
    </row>
    <row r="26" spans="1:11" ht="12.75">
      <c r="A26" s="5"/>
      <c r="B26" s="160"/>
      <c r="C26" s="103"/>
      <c r="D26" s="103"/>
      <c r="E26" s="109"/>
      <c r="J26" s="101"/>
      <c r="K26" s="101"/>
    </row>
    <row r="27" spans="1:11" ht="12.75">
      <c r="A27" s="5"/>
      <c r="B27" s="160"/>
      <c r="C27" s="102"/>
      <c r="D27" s="102"/>
      <c r="E27" s="108"/>
      <c r="J27" s="101"/>
      <c r="K27" s="101"/>
    </row>
    <row r="28" spans="1:11" ht="12.75">
      <c r="A28" s="5"/>
      <c r="B28" s="160"/>
      <c r="C28" s="102"/>
      <c r="D28" s="102"/>
      <c r="E28" s="108"/>
      <c r="J28" s="101"/>
      <c r="K28" s="101"/>
    </row>
    <row r="29" spans="1:11" ht="12.75">
      <c r="A29" s="7"/>
      <c r="B29" s="161"/>
      <c r="C29" s="102"/>
      <c r="D29" s="102"/>
      <c r="E29" s="108"/>
      <c r="J29" s="101"/>
      <c r="K29" s="101"/>
    </row>
    <row r="30" spans="1:11" ht="12.75">
      <c r="A30" s="70"/>
      <c r="B30" s="162"/>
      <c r="J30" s="101"/>
      <c r="K30" s="101"/>
    </row>
    <row r="31" spans="1:11" ht="12.75">
      <c r="A31" s="70"/>
      <c r="B31" s="162"/>
      <c r="J31" s="101"/>
      <c r="K31" s="101"/>
    </row>
    <row r="32" spans="1:11" ht="12.75">
      <c r="A32" s="70"/>
      <c r="B32" s="162"/>
      <c r="J32" s="101"/>
      <c r="K32" s="101"/>
    </row>
    <row r="33" spans="1:5" ht="12.75">
      <c r="A33" s="70"/>
      <c r="B33" s="162"/>
      <c r="C33" s="102"/>
      <c r="D33" s="102"/>
      <c r="E33" s="108"/>
    </row>
    <row r="34" spans="1:5" ht="12.75">
      <c r="A34" s="70"/>
      <c r="B34" s="162"/>
      <c r="C34" s="102"/>
      <c r="D34" s="102"/>
      <c r="E34" s="108"/>
    </row>
    <row r="35" spans="1:2" ht="12.75">
      <c r="A35" s="70"/>
      <c r="B35" s="162"/>
    </row>
    <row r="36" spans="1:5" ht="12.75">
      <c r="A36" s="78"/>
      <c r="B36" s="163"/>
      <c r="C36" s="102"/>
      <c r="D36" s="102"/>
      <c r="E36" s="108"/>
    </row>
    <row r="37" spans="1:2" ht="12.75">
      <c r="A37" s="70"/>
      <c r="B37" s="162"/>
    </row>
    <row r="38" spans="1:2" ht="12.75">
      <c r="A38" s="79"/>
      <c r="B38" s="164"/>
    </row>
    <row r="39" spans="1:5" ht="12.75">
      <c r="A39" s="70"/>
      <c r="B39" s="162"/>
      <c r="C39" s="102"/>
      <c r="D39" s="102"/>
      <c r="E39" s="108"/>
    </row>
    <row r="40" spans="1:5" ht="12.75">
      <c r="A40" s="70"/>
      <c r="B40" s="162"/>
      <c r="C40" s="102"/>
      <c r="D40" s="102"/>
      <c r="E40" s="108"/>
    </row>
    <row r="41" spans="1:5" ht="12.75">
      <c r="A41" s="70"/>
      <c r="B41" s="162"/>
      <c r="C41" s="102"/>
      <c r="D41" s="102"/>
      <c r="E41" s="108"/>
    </row>
    <row r="42" spans="1:5" ht="12.75">
      <c r="A42" s="70"/>
      <c r="B42" s="162"/>
      <c r="C42" s="102"/>
      <c r="D42" s="102"/>
      <c r="E42" s="108"/>
    </row>
    <row r="43" spans="1:5" ht="12.75">
      <c r="A43" s="79"/>
      <c r="B43" s="164"/>
      <c r="C43" s="102"/>
      <c r="D43" s="102"/>
      <c r="E43" s="108"/>
    </row>
    <row r="44" spans="1:2" ht="12.75">
      <c r="A44" s="79"/>
      <c r="B44" s="164"/>
    </row>
    <row r="45" spans="1:2" ht="12.75">
      <c r="A45" s="70"/>
      <c r="B45" s="162"/>
    </row>
    <row r="46" spans="1:5" ht="12.75">
      <c r="A46" s="70"/>
      <c r="B46" s="162"/>
      <c r="C46" s="102"/>
      <c r="D46" s="102"/>
      <c r="E46" s="108"/>
    </row>
    <row r="47" spans="1:2" ht="12.75">
      <c r="A47" s="79"/>
      <c r="B47" s="164"/>
    </row>
    <row r="48" spans="1:2" ht="12.75">
      <c r="A48" s="70"/>
      <c r="B48" s="162"/>
    </row>
    <row r="49" spans="1:5" ht="12.75">
      <c r="A49" s="70"/>
      <c r="B49" s="162"/>
      <c r="C49" s="102"/>
      <c r="D49" s="102"/>
      <c r="E49" s="108"/>
    </row>
    <row r="50" spans="1:2" ht="12.75">
      <c r="A50" s="70"/>
      <c r="B50" s="162"/>
    </row>
    <row r="51" spans="1:2" ht="12.75">
      <c r="A51" s="70"/>
      <c r="B51" s="162"/>
    </row>
    <row r="52" spans="1:5" ht="12.75">
      <c r="A52" s="70"/>
      <c r="B52" s="162"/>
      <c r="C52" s="102"/>
      <c r="D52" s="102"/>
      <c r="E52" s="108"/>
    </row>
    <row r="53" spans="1:5" ht="12.75">
      <c r="A53" s="70"/>
      <c r="B53" s="162"/>
      <c r="C53" s="102"/>
      <c r="D53" s="102"/>
      <c r="E53" s="108"/>
    </row>
    <row r="54" spans="1:2" ht="12.75">
      <c r="A54" s="70"/>
      <c r="B54" s="162"/>
    </row>
    <row r="55" spans="1:2" ht="12.75">
      <c r="A55" s="70"/>
      <c r="B55" s="162"/>
    </row>
    <row r="56" spans="1:5" ht="12.75">
      <c r="A56" s="78"/>
      <c r="B56" s="163"/>
      <c r="C56" s="102"/>
      <c r="D56" s="102"/>
      <c r="E56" s="108"/>
    </row>
    <row r="57" spans="1:5" ht="12.75">
      <c r="A57" s="70"/>
      <c r="B57" s="162"/>
      <c r="C57" s="102"/>
      <c r="D57" s="102"/>
      <c r="E57" s="108"/>
    </row>
    <row r="58" spans="1:5" ht="12.75">
      <c r="A58" s="79"/>
      <c r="B58" s="164"/>
      <c r="C58" s="102"/>
      <c r="D58" s="102"/>
      <c r="E58" s="108"/>
    </row>
    <row r="59" spans="1:2" ht="12.75">
      <c r="A59" s="78"/>
      <c r="B59" s="163"/>
    </row>
    <row r="60" spans="1:5" ht="12.75">
      <c r="A60" s="70"/>
      <c r="B60" s="162"/>
      <c r="C60" s="102"/>
      <c r="D60" s="102"/>
      <c r="E60" s="108"/>
    </row>
    <row r="61" spans="1:2" ht="12.75">
      <c r="A61" s="79"/>
      <c r="B61" s="164"/>
    </row>
    <row r="62" spans="1:2" ht="12.75">
      <c r="A62" s="78"/>
      <c r="B62" s="163"/>
    </row>
    <row r="63" spans="1:5" ht="12.75">
      <c r="A63" s="70"/>
      <c r="B63" s="162"/>
      <c r="C63" s="102"/>
      <c r="D63" s="102"/>
      <c r="E63" s="108"/>
    </row>
    <row r="64" spans="1:2" ht="12.75">
      <c r="A64" s="79"/>
      <c r="B64" s="164"/>
    </row>
    <row r="65" spans="1:5" ht="12.75">
      <c r="A65" s="70"/>
      <c r="B65" s="162"/>
      <c r="C65" s="102"/>
      <c r="D65" s="102"/>
      <c r="E65" s="108"/>
    </row>
    <row r="66" spans="1:5" ht="12.75">
      <c r="A66" s="79"/>
      <c r="B66" s="164"/>
      <c r="C66" s="102"/>
      <c r="D66" s="102"/>
      <c r="E66" s="108"/>
    </row>
    <row r="67" spans="1:2" ht="12.75">
      <c r="A67" s="79"/>
      <c r="B67" s="164"/>
    </row>
    <row r="68" spans="1:2" ht="12.75">
      <c r="A68" s="70"/>
      <c r="B68" s="162"/>
    </row>
    <row r="69" spans="1:2" ht="12.75">
      <c r="A69" s="70"/>
      <c r="B69" s="162"/>
    </row>
    <row r="70" spans="1:2" ht="12.75">
      <c r="A70" s="79"/>
      <c r="B70" s="164"/>
    </row>
    <row r="71" spans="1:2" ht="12.75">
      <c r="A71" s="70"/>
      <c r="B71" s="162"/>
    </row>
    <row r="72" spans="1:2" ht="12.75">
      <c r="A72" s="79"/>
      <c r="B72" s="164"/>
    </row>
    <row r="152" spans="3:5" ht="12.75">
      <c r="C152" s="102"/>
      <c r="D152" s="102"/>
      <c r="E152" s="108"/>
    </row>
    <row r="153" spans="1:5" ht="12.75">
      <c r="A153" s="5"/>
      <c r="B153" s="160"/>
      <c r="C153" s="103"/>
      <c r="D153" s="103"/>
      <c r="E153" s="109"/>
    </row>
    <row r="154" spans="1:5" ht="12.75">
      <c r="A154" s="5"/>
      <c r="B154" s="160"/>
      <c r="C154" s="102"/>
      <c r="D154" s="102"/>
      <c r="E154" s="108"/>
    </row>
    <row r="155" spans="1:5" ht="12.75">
      <c r="A155" s="5"/>
      <c r="B155" s="160"/>
      <c r="C155" s="102"/>
      <c r="D155" s="102"/>
      <c r="E155" s="108"/>
    </row>
    <row r="156" spans="3:5" ht="12.75">
      <c r="C156" s="102"/>
      <c r="D156" s="102"/>
      <c r="E156" s="108"/>
    </row>
    <row r="157" spans="1:2" ht="12.75">
      <c r="A157" s="79"/>
      <c r="B157" s="164"/>
    </row>
    <row r="158" spans="1:2" ht="12.75">
      <c r="A158" s="70"/>
      <c r="B158" s="162"/>
    </row>
    <row r="159" spans="1:2" ht="12.75">
      <c r="A159" s="70"/>
      <c r="B159" s="162"/>
    </row>
    <row r="160" spans="1:2" ht="12.75">
      <c r="A160" s="79"/>
      <c r="B160" s="164"/>
    </row>
    <row r="161" spans="1:2" ht="12.75">
      <c r="A161" s="79"/>
      <c r="B161" s="164"/>
    </row>
    <row r="162" spans="1:2" ht="12.75">
      <c r="A162" s="70"/>
      <c r="B162" s="162"/>
    </row>
    <row r="163" spans="1:2" ht="12.75">
      <c r="A163" s="70"/>
      <c r="B163" s="162"/>
    </row>
    <row r="164" spans="1:2" ht="12.75">
      <c r="A164" s="70"/>
      <c r="B164" s="162"/>
    </row>
    <row r="165" spans="1:2" ht="12.75">
      <c r="A165" s="70"/>
      <c r="B165" s="162"/>
    </row>
    <row r="166" spans="1:2" ht="12.75">
      <c r="A166" s="70"/>
      <c r="B166" s="162"/>
    </row>
    <row r="167" spans="1:2" ht="12.75">
      <c r="A167" s="70"/>
      <c r="B167" s="162"/>
    </row>
    <row r="168" spans="1:2" ht="12.75">
      <c r="A168" s="70"/>
      <c r="B168" s="162"/>
    </row>
    <row r="169" spans="1:2" ht="12.75">
      <c r="A169" s="70"/>
      <c r="B169" s="162"/>
    </row>
    <row r="170" spans="1:2" ht="12.75">
      <c r="A170" s="70"/>
      <c r="B170" s="162"/>
    </row>
    <row r="171" spans="1:2" ht="12.75">
      <c r="A171" s="70"/>
      <c r="B171" s="162"/>
    </row>
    <row r="172" spans="1:2" ht="12.75">
      <c r="A172" s="70"/>
      <c r="B172" s="162"/>
    </row>
    <row r="173" spans="1:2" ht="12.75">
      <c r="A173" s="70"/>
      <c r="B173" s="162"/>
    </row>
    <row r="174" spans="1:2" ht="12.75">
      <c r="A174" s="78"/>
      <c r="B174" s="163"/>
    </row>
    <row r="175" spans="1:2" ht="12.75">
      <c r="A175" s="79"/>
      <c r="B175" s="164"/>
    </row>
    <row r="176" spans="1:2" ht="12.75">
      <c r="A176" s="70"/>
      <c r="B176" s="162"/>
    </row>
    <row r="177" spans="1:2" ht="12.75">
      <c r="A177" s="70"/>
      <c r="B177" s="162"/>
    </row>
    <row r="178" spans="1:2" ht="12.75">
      <c r="A178" s="70"/>
      <c r="B178" s="162"/>
    </row>
    <row r="179" spans="1:2" ht="12.75">
      <c r="A179" s="70"/>
      <c r="B179" s="162"/>
    </row>
    <row r="180" spans="1:2" ht="12.75">
      <c r="A180" s="70"/>
      <c r="B180" s="162"/>
    </row>
    <row r="181" spans="1:2" ht="12.75">
      <c r="A181" s="70"/>
      <c r="B181" s="162"/>
    </row>
    <row r="182" spans="1:2" ht="12.75">
      <c r="A182" s="78"/>
      <c r="B182" s="163"/>
    </row>
    <row r="183" spans="1:2" ht="12.75">
      <c r="A183" s="79"/>
      <c r="B183" s="164"/>
    </row>
    <row r="184" spans="1:2" ht="12.75">
      <c r="A184" s="70"/>
      <c r="B184" s="162"/>
    </row>
    <row r="185" spans="1:2" ht="12.75">
      <c r="A185" s="78"/>
      <c r="B185" s="163"/>
    </row>
    <row r="186" spans="1:2" ht="12.75">
      <c r="A186" s="70"/>
      <c r="B186" s="162"/>
    </row>
    <row r="187" spans="1:2" ht="12.75">
      <c r="A187" s="78"/>
      <c r="B187" s="163"/>
    </row>
    <row r="188" spans="1:2" ht="12.75">
      <c r="A188" s="79"/>
      <c r="B188" s="164"/>
    </row>
    <row r="189" spans="1:2" ht="12.75">
      <c r="A189" s="70"/>
      <c r="B189" s="162"/>
    </row>
    <row r="190" spans="1:2" ht="12.75">
      <c r="A190" s="70"/>
      <c r="B190" s="162"/>
    </row>
    <row r="191" spans="1:2" ht="12.75">
      <c r="A191" s="79"/>
      <c r="B191" s="164"/>
    </row>
    <row r="192" spans="1:2" ht="12.75">
      <c r="A192" s="70"/>
      <c r="B192" s="162"/>
    </row>
    <row r="193" spans="1:2" ht="12.75">
      <c r="A193" s="79"/>
      <c r="B193" s="164"/>
    </row>
    <row r="194" spans="1:2" ht="12.75">
      <c r="A194" s="79"/>
      <c r="B194" s="164"/>
    </row>
    <row r="195" spans="1:2" ht="12.75">
      <c r="A195" s="70"/>
      <c r="B195" s="162"/>
    </row>
    <row r="196" spans="1:2" ht="12.75">
      <c r="A196" s="79"/>
      <c r="B196" s="164"/>
    </row>
    <row r="197" spans="1:2" ht="12.75">
      <c r="A197" s="79"/>
      <c r="B197" s="164"/>
    </row>
    <row r="198" spans="1:2" ht="12.75">
      <c r="A198" s="70"/>
      <c r="B198" s="162"/>
    </row>
    <row r="199" spans="1:2" ht="12.75">
      <c r="A199" s="70"/>
      <c r="B199" s="162"/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C21:J21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Sector analysis</dc:title>
  <dc:subject>Injury statistics</dc:subject>
  <dc:creator>DNRM</dc:creator>
  <cp:keywords>mine; injury; statistics; coal; underground</cp:keywords>
  <dc:description>Mine by mine injury statistics for underground coal</dc:description>
  <cp:lastModifiedBy>LIU Tom</cp:lastModifiedBy>
  <cp:lastPrinted>2018-03-27T04:11:12Z</cp:lastPrinted>
  <dcterms:created xsi:type="dcterms:W3CDTF">1998-05-13T06:43:14Z</dcterms:created>
  <dcterms:modified xsi:type="dcterms:W3CDTF">2020-04-21T02:43:14Z</dcterms:modified>
  <cp:category>mining</cp:category>
  <cp:version/>
  <cp:contentType/>
  <cp:contentStatus/>
</cp:coreProperties>
</file>